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psdsor" ContentType="application/vnd.openxmlformats-package.digital-signature-origin"/>
  <Default Extension="psdsxs" ContentType="application/vnd.openxmlformats-package.digital-signature-xmlsignatur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package/2006/relationships/digital-signature/origin" Target="/package/services/digital-signature/origin.psdsor" Id="Rc03b5ad51f76455b"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Y:\KSNB\Private\1. CBTT-KSNB\BCTC\QUÝ\2026\Quý II\UBCK\"/>
    </mc:Choice>
  </mc:AlternateContent>
  <xr:revisionPtr revIDLastSave="0" documentId="13_ncr:1_{26BE2E8C-2989-42DB-9E92-8D8A8BB88FAA}" xr6:coauthVersionLast="47" xr6:coauthVersionMax="47" xr10:uidLastSave="{00000000-0000-0000-0000-000000000000}"/>
  <bookViews>
    <workbookView xWindow="-120" yWindow="-120" windowWidth="24240" windowHeight="13140" xr2:uid="{00000000-000D-0000-FFFF-FFFF00000000}"/>
  </bookViews>
  <sheets>
    <sheet name="Trang bìa" sheetId="1" r:id="rId1"/>
    <sheet name="Setting" sheetId="2" state="hidden" r:id="rId2"/>
    <sheet name="BCTCR_06608" sheetId="3" r:id="rId3"/>
    <sheet name="8652_hidden" sheetId="4" state="hidden" r:id="rId4"/>
    <sheet name="CCTTCR_06609" sheetId="5" r:id="rId5"/>
    <sheet name="8648_hidden" sheetId="6" state="hidden" r:id="rId6"/>
    <sheet name="BCKQHDR_06610" sheetId="7" r:id="rId7"/>
    <sheet name="8645_hidden" sheetId="8" state="hidden" r:id="rId8"/>
    <sheet name="BCLCTTRTT_06611" sheetId="9" r:id="rId9"/>
    <sheet name="8649_hidden" sheetId="10" state="hidden" r:id="rId10"/>
    <sheet name="PLCTTHDMGUTCKHTT_06612" sheetId="11" r:id="rId11"/>
    <sheet name="8646_hidden" sheetId="12" state="hidden" r:id="rId12"/>
    <sheet name="BCLCTTRGT_06613" sheetId="13" r:id="rId13"/>
    <sheet name="8651_hidden" sheetId="14" state="hidden" r:id="rId14"/>
    <sheet name="PLCTTHDMGUTCKHGT_06614" sheetId="15" r:id="rId15"/>
    <sheet name="8647_hidden" sheetId="16" state="hidden" r:id="rId16"/>
    <sheet name="BCTHBDVCSH_06615" sheetId="17" r:id="rId17"/>
    <sheet name="8650_hidden" sheetId="18" state="hidden" r:id="rId18"/>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9" i="18" l="1"/>
  <c r="J29" i="18"/>
  <c r="I29" i="18"/>
  <c r="H29" i="18"/>
  <c r="G29" i="18"/>
  <c r="F29" i="18"/>
  <c r="E29" i="18"/>
  <c r="D29" i="18"/>
  <c r="C29" i="18"/>
  <c r="B29" i="18"/>
  <c r="A29" i="18"/>
  <c r="K28" i="18"/>
  <c r="J28" i="18"/>
  <c r="I28" i="18"/>
  <c r="H28" i="18"/>
  <c r="G28" i="18"/>
  <c r="F28" i="18"/>
  <c r="E28" i="18"/>
  <c r="D28" i="18"/>
  <c r="C28" i="18"/>
  <c r="B28" i="18"/>
  <c r="A28" i="18"/>
  <c r="K27" i="18"/>
  <c r="J27" i="18"/>
  <c r="I27" i="18"/>
  <c r="H27" i="18"/>
  <c r="G27" i="18"/>
  <c r="F27" i="18"/>
  <c r="E27" i="18"/>
  <c r="D27" i="18"/>
  <c r="C27" i="18"/>
  <c r="B27" i="18"/>
  <c r="A27" i="18"/>
  <c r="K26" i="18"/>
  <c r="J26" i="18"/>
  <c r="I26" i="18"/>
  <c r="H26" i="18"/>
  <c r="G26" i="18"/>
  <c r="F26" i="18"/>
  <c r="E26" i="18"/>
  <c r="D26" i="18"/>
  <c r="C26" i="18"/>
  <c r="B26" i="18"/>
  <c r="A26" i="18"/>
  <c r="K25" i="18"/>
  <c r="J25" i="18"/>
  <c r="I25" i="18"/>
  <c r="H25" i="18"/>
  <c r="G25" i="18"/>
  <c r="F25" i="18"/>
  <c r="E25" i="18"/>
  <c r="D25" i="18"/>
  <c r="C25" i="18"/>
  <c r="B25" i="18"/>
  <c r="A25" i="18"/>
  <c r="K24" i="18"/>
  <c r="J24" i="18"/>
  <c r="I24" i="18"/>
  <c r="H24" i="18"/>
  <c r="G24" i="18"/>
  <c r="F24" i="18"/>
  <c r="E24" i="18"/>
  <c r="D24" i="18"/>
  <c r="C24" i="18"/>
  <c r="B24" i="18"/>
  <c r="A24" i="18"/>
  <c r="K23" i="18"/>
  <c r="J23" i="18"/>
  <c r="I23" i="18"/>
  <c r="H23" i="18"/>
  <c r="G23" i="18"/>
  <c r="F23" i="18"/>
  <c r="E23" i="18"/>
  <c r="D23" i="18"/>
  <c r="C23" i="18"/>
  <c r="B23" i="18"/>
  <c r="A23" i="18"/>
  <c r="K22" i="18"/>
  <c r="J22" i="18"/>
  <c r="I22" i="18"/>
  <c r="H22" i="18"/>
  <c r="G22" i="18"/>
  <c r="F22" i="18"/>
  <c r="E22" i="18"/>
  <c r="D22" i="18"/>
  <c r="C22" i="18"/>
  <c r="B22" i="18"/>
  <c r="A22" i="18"/>
  <c r="K21" i="18"/>
  <c r="J21" i="18"/>
  <c r="I21" i="18"/>
  <c r="H21" i="18"/>
  <c r="G21" i="18"/>
  <c r="F21" i="18"/>
  <c r="E21" i="18"/>
  <c r="D21" i="18"/>
  <c r="C21" i="18"/>
  <c r="B21" i="18"/>
  <c r="A21" i="18"/>
  <c r="K20" i="18"/>
  <c r="J20" i="18"/>
  <c r="I20" i="18"/>
  <c r="H20" i="18"/>
  <c r="G20" i="18"/>
  <c r="F20" i="18"/>
  <c r="E20" i="18"/>
  <c r="D20" i="18"/>
  <c r="C20" i="18"/>
  <c r="B20" i="18"/>
  <c r="A20" i="18"/>
  <c r="K19" i="18"/>
  <c r="J19" i="18"/>
  <c r="I19" i="18"/>
  <c r="H19" i="18"/>
  <c r="G19" i="18"/>
  <c r="F19" i="18"/>
  <c r="E19" i="18"/>
  <c r="D19" i="18"/>
  <c r="C19" i="18"/>
  <c r="B19" i="18"/>
  <c r="A19" i="18"/>
  <c r="K18" i="18"/>
  <c r="J18" i="18"/>
  <c r="I18" i="18"/>
  <c r="H18" i="18"/>
  <c r="G18" i="18"/>
  <c r="F18" i="18"/>
  <c r="E18" i="18"/>
  <c r="D18" i="18"/>
  <c r="C18" i="18"/>
  <c r="B18" i="18"/>
  <c r="A18" i="18"/>
  <c r="K17" i="18"/>
  <c r="J17" i="18"/>
  <c r="I17" i="18"/>
  <c r="H17" i="18"/>
  <c r="G17" i="18"/>
  <c r="F17" i="18"/>
  <c r="E17" i="18"/>
  <c r="D17" i="18"/>
  <c r="C17" i="18"/>
  <c r="B17" i="18"/>
  <c r="A17" i="18"/>
  <c r="K16" i="18"/>
  <c r="J16" i="18"/>
  <c r="I16" i="18"/>
  <c r="H16" i="18"/>
  <c r="G16" i="18"/>
  <c r="F16" i="18"/>
  <c r="E16" i="18"/>
  <c r="D16" i="18"/>
  <c r="C16" i="18"/>
  <c r="B16" i="18"/>
  <c r="A16" i="18"/>
  <c r="K15" i="18"/>
  <c r="J15" i="18"/>
  <c r="I15" i="18"/>
  <c r="H15" i="18"/>
  <c r="G15" i="18"/>
  <c r="F15" i="18"/>
  <c r="E15" i="18"/>
  <c r="D15" i="18"/>
  <c r="C15" i="18"/>
  <c r="B15" i="18"/>
  <c r="A15" i="18"/>
  <c r="K14" i="18"/>
  <c r="J14" i="18"/>
  <c r="I14" i="18"/>
  <c r="H14" i="18"/>
  <c r="G14" i="18"/>
  <c r="F14" i="18"/>
  <c r="E14" i="18"/>
  <c r="D14" i="18"/>
  <c r="C14" i="18"/>
  <c r="B14" i="18"/>
  <c r="A14" i="18"/>
  <c r="K13" i="18"/>
  <c r="J13" i="18"/>
  <c r="I13" i="18"/>
  <c r="H13" i="18"/>
  <c r="G13" i="18"/>
  <c r="F13" i="18"/>
  <c r="E13" i="18"/>
  <c r="D13" i="18"/>
  <c r="C13" i="18"/>
  <c r="B13" i="18"/>
  <c r="A13" i="18"/>
  <c r="K12" i="18"/>
  <c r="J12" i="18"/>
  <c r="I12" i="18"/>
  <c r="H12" i="18"/>
  <c r="G12" i="18"/>
  <c r="F12" i="18"/>
  <c r="E12" i="18"/>
  <c r="D12" i="18"/>
  <c r="C12" i="18"/>
  <c r="B12" i="18"/>
  <c r="A12" i="18"/>
  <c r="K11" i="18"/>
  <c r="J11" i="18"/>
  <c r="I11" i="18"/>
  <c r="H11" i="18"/>
  <c r="G11" i="18"/>
  <c r="F11" i="18"/>
  <c r="E11" i="18"/>
  <c r="D11" i="18"/>
  <c r="C11" i="18"/>
  <c r="B11" i="18"/>
  <c r="A11" i="18"/>
  <c r="K10" i="18"/>
  <c r="J10" i="18"/>
  <c r="I10" i="18"/>
  <c r="H10" i="18"/>
  <c r="G10" i="18"/>
  <c r="F10" i="18"/>
  <c r="E10" i="18"/>
  <c r="D10" i="18"/>
  <c r="C10" i="18"/>
  <c r="B10" i="18"/>
  <c r="A10" i="18"/>
  <c r="K9" i="18"/>
  <c r="J9" i="18"/>
  <c r="I9" i="18"/>
  <c r="H9" i="18"/>
  <c r="G9" i="18"/>
  <c r="F9" i="18"/>
  <c r="E9" i="18"/>
  <c r="D9" i="18"/>
  <c r="C9" i="18"/>
  <c r="B9" i="18"/>
  <c r="A9" i="18"/>
  <c r="K8" i="18"/>
  <c r="J8" i="18"/>
  <c r="I8" i="18"/>
  <c r="H8" i="18"/>
  <c r="G8" i="18"/>
  <c r="F8" i="18"/>
  <c r="E8" i="18"/>
  <c r="D8" i="18"/>
  <c r="C8" i="18"/>
  <c r="B8" i="18"/>
  <c r="A8" i="18"/>
  <c r="K7" i="18"/>
  <c r="J7" i="18"/>
  <c r="I7" i="18"/>
  <c r="H7" i="18"/>
  <c r="G7" i="18"/>
  <c r="F7" i="18"/>
  <c r="E7" i="18"/>
  <c r="D7" i="18"/>
  <c r="C7" i="18"/>
  <c r="B7" i="18"/>
  <c r="A7" i="18"/>
  <c r="E40" i="16"/>
  <c r="D40" i="16"/>
  <c r="C40" i="16"/>
  <c r="B40" i="16"/>
  <c r="A40" i="16"/>
  <c r="E39" i="16"/>
  <c r="D39" i="16"/>
  <c r="C39" i="16"/>
  <c r="B39" i="16"/>
  <c r="A39" i="16"/>
  <c r="E38" i="16"/>
  <c r="D38" i="16"/>
  <c r="C38" i="16"/>
  <c r="B38" i="16"/>
  <c r="A38" i="16"/>
  <c r="E37" i="16"/>
  <c r="D37" i="16"/>
  <c r="C37" i="16"/>
  <c r="B37" i="16"/>
  <c r="A37" i="16"/>
  <c r="E36" i="16"/>
  <c r="D36" i="16"/>
  <c r="C36" i="16"/>
  <c r="B36" i="16"/>
  <c r="A36" i="16"/>
  <c r="E35" i="16"/>
  <c r="D35" i="16"/>
  <c r="C35" i="16"/>
  <c r="B35" i="16"/>
  <c r="A35" i="16"/>
  <c r="E34" i="16"/>
  <c r="D34" i="16"/>
  <c r="C34" i="16"/>
  <c r="B34" i="16"/>
  <c r="A34" i="16"/>
  <c r="E33" i="16"/>
  <c r="D33" i="16"/>
  <c r="C33" i="16"/>
  <c r="B33" i="16"/>
  <c r="A33" i="16"/>
  <c r="E32" i="16"/>
  <c r="D32" i="16"/>
  <c r="C32" i="16"/>
  <c r="B32" i="16"/>
  <c r="A32" i="16"/>
  <c r="E31" i="16"/>
  <c r="D31" i="16"/>
  <c r="C31" i="16"/>
  <c r="B31" i="16"/>
  <c r="A31" i="16"/>
  <c r="E30" i="16"/>
  <c r="D30" i="16"/>
  <c r="C30" i="16"/>
  <c r="B30" i="16"/>
  <c r="A30" i="16"/>
  <c r="E29" i="16"/>
  <c r="D29" i="16"/>
  <c r="C29" i="16"/>
  <c r="B29" i="16"/>
  <c r="A29" i="16"/>
  <c r="E28" i="16"/>
  <c r="D28" i="16"/>
  <c r="C28" i="16"/>
  <c r="B28" i="16"/>
  <c r="A28" i="16"/>
  <c r="E27" i="16"/>
  <c r="D27" i="16"/>
  <c r="C27" i="16"/>
  <c r="B27" i="16"/>
  <c r="A27" i="16"/>
  <c r="E26" i="16"/>
  <c r="D26" i="16"/>
  <c r="C26" i="16"/>
  <c r="B26" i="16"/>
  <c r="A26" i="16"/>
  <c r="E25" i="16"/>
  <c r="D25" i="16"/>
  <c r="C25" i="16"/>
  <c r="B25" i="16"/>
  <c r="A25" i="16"/>
  <c r="E24" i="16"/>
  <c r="D24" i="16"/>
  <c r="C24" i="16"/>
  <c r="B24" i="16"/>
  <c r="A24" i="16"/>
  <c r="E23" i="16"/>
  <c r="D23" i="16"/>
  <c r="C23" i="16"/>
  <c r="B23" i="16"/>
  <c r="A23" i="16"/>
  <c r="E22" i="16"/>
  <c r="D22" i="16"/>
  <c r="C22" i="16"/>
  <c r="B22" i="16"/>
  <c r="A22" i="16"/>
  <c r="E21" i="16"/>
  <c r="D21" i="16"/>
  <c r="C21" i="16"/>
  <c r="B21" i="16"/>
  <c r="A21" i="16"/>
  <c r="E20" i="16"/>
  <c r="D20" i="16"/>
  <c r="C20" i="16"/>
  <c r="B20" i="16"/>
  <c r="A20" i="16"/>
  <c r="E19" i="16"/>
  <c r="D19" i="16"/>
  <c r="C19" i="16"/>
  <c r="B19" i="16"/>
  <c r="A19" i="16"/>
  <c r="E18" i="16"/>
  <c r="D18" i="16"/>
  <c r="C18" i="16"/>
  <c r="B18" i="16"/>
  <c r="A18" i="16"/>
  <c r="E17" i="16"/>
  <c r="D17" i="16"/>
  <c r="C17" i="16"/>
  <c r="B17" i="16"/>
  <c r="A17" i="16"/>
  <c r="E16" i="16"/>
  <c r="D16" i="16"/>
  <c r="C16" i="16"/>
  <c r="B16" i="16"/>
  <c r="A16" i="16"/>
  <c r="E15" i="16"/>
  <c r="D15" i="16"/>
  <c r="C15" i="16"/>
  <c r="B15" i="16"/>
  <c r="A15" i="16"/>
  <c r="E14" i="16"/>
  <c r="D14" i="16"/>
  <c r="C14" i="16"/>
  <c r="B14" i="16"/>
  <c r="A14" i="16"/>
  <c r="E13" i="16"/>
  <c r="D13" i="16"/>
  <c r="C13" i="16"/>
  <c r="B13" i="16"/>
  <c r="A13" i="16"/>
  <c r="E12" i="16"/>
  <c r="D12" i="16"/>
  <c r="C12" i="16"/>
  <c r="B12" i="16"/>
  <c r="A12" i="16"/>
  <c r="E11" i="16"/>
  <c r="D11" i="16"/>
  <c r="C11" i="16"/>
  <c r="B11" i="16"/>
  <c r="A11" i="16"/>
  <c r="E10" i="16"/>
  <c r="D10" i="16"/>
  <c r="C10" i="16"/>
  <c r="B10" i="16"/>
  <c r="A10" i="16"/>
  <c r="E9" i="16"/>
  <c r="D9" i="16"/>
  <c r="C9" i="16"/>
  <c r="B9" i="16"/>
  <c r="A9" i="16"/>
  <c r="E8" i="16"/>
  <c r="D8" i="16"/>
  <c r="C8" i="16"/>
  <c r="B8" i="16"/>
  <c r="A8" i="16"/>
  <c r="E7" i="16"/>
  <c r="D7" i="16"/>
  <c r="C7" i="16"/>
  <c r="B7" i="16"/>
  <c r="A7" i="16"/>
  <c r="E6" i="16"/>
  <c r="D6" i="16"/>
  <c r="C6" i="16"/>
  <c r="B6" i="16"/>
  <c r="A6" i="16"/>
  <c r="E5" i="16"/>
  <c r="D5" i="16"/>
  <c r="C5" i="16"/>
  <c r="B5" i="16"/>
  <c r="A5" i="16"/>
  <c r="E4" i="16"/>
  <c r="D4" i="16"/>
  <c r="C4" i="16"/>
  <c r="B4" i="16"/>
  <c r="A4" i="16"/>
  <c r="E3" i="16"/>
  <c r="D3" i="16"/>
  <c r="C3" i="16"/>
  <c r="A3" i="16"/>
  <c r="E80" i="14"/>
  <c r="D80" i="14"/>
  <c r="C80" i="14"/>
  <c r="B80" i="14"/>
  <c r="A80" i="14"/>
  <c r="E79" i="14"/>
  <c r="D79" i="14"/>
  <c r="C79" i="14"/>
  <c r="B79" i="14"/>
  <c r="A79" i="14"/>
  <c r="E78" i="14"/>
  <c r="D78" i="14"/>
  <c r="C78" i="14"/>
  <c r="B78" i="14"/>
  <c r="A78" i="14"/>
  <c r="E77" i="14"/>
  <c r="D77" i="14"/>
  <c r="C77" i="14"/>
  <c r="B77" i="14"/>
  <c r="A77" i="14"/>
  <c r="E76" i="14"/>
  <c r="D76" i="14"/>
  <c r="C76" i="14"/>
  <c r="B76" i="14"/>
  <c r="A76" i="14"/>
  <c r="E75" i="14"/>
  <c r="D75" i="14"/>
  <c r="C75" i="14"/>
  <c r="B75" i="14"/>
  <c r="A75" i="14"/>
  <c r="E74" i="14"/>
  <c r="D74" i="14"/>
  <c r="C74" i="14"/>
  <c r="B74" i="14"/>
  <c r="A74" i="14"/>
  <c r="E73" i="14"/>
  <c r="D73" i="14"/>
  <c r="C73" i="14"/>
  <c r="B73" i="14"/>
  <c r="A73" i="14"/>
  <c r="E72" i="14"/>
  <c r="D72" i="14"/>
  <c r="C72" i="14"/>
  <c r="B72" i="14"/>
  <c r="A72" i="14"/>
  <c r="E71" i="14"/>
  <c r="D71" i="14"/>
  <c r="C71" i="14"/>
  <c r="B71" i="14"/>
  <c r="A71" i="14"/>
  <c r="E70" i="14"/>
  <c r="D70" i="14"/>
  <c r="C70" i="14"/>
  <c r="B70" i="14"/>
  <c r="A70" i="14"/>
  <c r="E69" i="14"/>
  <c r="D69" i="14"/>
  <c r="C69" i="14"/>
  <c r="B69" i="14"/>
  <c r="A69" i="14"/>
  <c r="E68" i="14"/>
  <c r="D68" i="14"/>
  <c r="C68" i="14"/>
  <c r="B68" i="14"/>
  <c r="A68" i="14"/>
  <c r="E67" i="14"/>
  <c r="D67" i="14"/>
  <c r="C67" i="14"/>
  <c r="B67" i="14"/>
  <c r="A67" i="14"/>
  <c r="E66" i="14"/>
  <c r="D66" i="14"/>
  <c r="C66" i="14"/>
  <c r="B66" i="14"/>
  <c r="A66" i="14"/>
  <c r="E65" i="14"/>
  <c r="D65" i="14"/>
  <c r="C65" i="14"/>
  <c r="B65" i="14"/>
  <c r="A65" i="14"/>
  <c r="E64" i="14"/>
  <c r="D64" i="14"/>
  <c r="C64" i="14"/>
  <c r="B64" i="14"/>
  <c r="A64" i="14"/>
  <c r="E63" i="14"/>
  <c r="D63" i="14"/>
  <c r="C63" i="14"/>
  <c r="B63" i="14"/>
  <c r="A63" i="14"/>
  <c r="E62" i="14"/>
  <c r="D62" i="14"/>
  <c r="C62" i="14"/>
  <c r="B62" i="14"/>
  <c r="A62" i="14"/>
  <c r="E61" i="14"/>
  <c r="D61" i="14"/>
  <c r="C61" i="14"/>
  <c r="B61" i="14"/>
  <c r="A61" i="14"/>
  <c r="E60" i="14"/>
  <c r="D60" i="14"/>
  <c r="C60" i="14"/>
  <c r="B60" i="14"/>
  <c r="A60" i="14"/>
  <c r="E59" i="14"/>
  <c r="D59" i="14"/>
  <c r="C59" i="14"/>
  <c r="A59" i="14"/>
  <c r="E58" i="14"/>
  <c r="D58" i="14"/>
  <c r="C58" i="14"/>
  <c r="B58" i="14"/>
  <c r="A58" i="14"/>
  <c r="E57" i="14"/>
  <c r="D57" i="14"/>
  <c r="C57" i="14"/>
  <c r="B57" i="14"/>
  <c r="A57" i="14"/>
  <c r="E56" i="14"/>
  <c r="D56" i="14"/>
  <c r="C56" i="14"/>
  <c r="B56" i="14"/>
  <c r="A56" i="14"/>
  <c r="E55" i="14"/>
  <c r="D55" i="14"/>
  <c r="C55" i="14"/>
  <c r="B55" i="14"/>
  <c r="A55" i="14"/>
  <c r="E54" i="14"/>
  <c r="D54" i="14"/>
  <c r="C54" i="14"/>
  <c r="B54" i="14"/>
  <c r="A54" i="14"/>
  <c r="E53" i="14"/>
  <c r="D53" i="14"/>
  <c r="C53" i="14"/>
  <c r="B53" i="14"/>
  <c r="A53" i="14"/>
  <c r="E52" i="14"/>
  <c r="D52" i="14"/>
  <c r="C52" i="14"/>
  <c r="A52" i="14"/>
  <c r="E51" i="14"/>
  <c r="D51" i="14"/>
  <c r="C51" i="14"/>
  <c r="B51" i="14"/>
  <c r="A51" i="14"/>
  <c r="E50" i="14"/>
  <c r="D50" i="14"/>
  <c r="C50" i="14"/>
  <c r="B50" i="14"/>
  <c r="A50" i="14"/>
  <c r="E49" i="14"/>
  <c r="D49" i="14"/>
  <c r="C49" i="14"/>
  <c r="B49" i="14"/>
  <c r="A49" i="14"/>
  <c r="E48" i="14"/>
  <c r="D48" i="14"/>
  <c r="C48" i="14"/>
  <c r="B48" i="14"/>
  <c r="A48" i="14"/>
  <c r="E47" i="14"/>
  <c r="D47" i="14"/>
  <c r="C47" i="14"/>
  <c r="B47" i="14"/>
  <c r="A47" i="14"/>
  <c r="E46" i="14"/>
  <c r="D46" i="14"/>
  <c r="C46" i="14"/>
  <c r="B46" i="14"/>
  <c r="A46" i="14"/>
  <c r="E45" i="14"/>
  <c r="D45" i="14"/>
  <c r="C45" i="14"/>
  <c r="B45" i="14"/>
  <c r="A45" i="14"/>
  <c r="E44" i="14"/>
  <c r="D44" i="14"/>
  <c r="C44" i="14"/>
  <c r="B44" i="14"/>
  <c r="A44" i="14"/>
  <c r="E43" i="14"/>
  <c r="D43" i="14"/>
  <c r="C43" i="14"/>
  <c r="B43" i="14"/>
  <c r="A43" i="14"/>
  <c r="E42" i="14"/>
  <c r="D42" i="14"/>
  <c r="C42" i="14"/>
  <c r="B42" i="14"/>
  <c r="A42" i="14"/>
  <c r="E41" i="14"/>
  <c r="D41" i="14"/>
  <c r="C41" i="14"/>
  <c r="B41" i="14"/>
  <c r="A41" i="14"/>
  <c r="E40" i="14"/>
  <c r="D40" i="14"/>
  <c r="C40" i="14"/>
  <c r="B40" i="14"/>
  <c r="A40" i="14"/>
  <c r="E39" i="14"/>
  <c r="D39" i="14"/>
  <c r="C39" i="14"/>
  <c r="B39" i="14"/>
  <c r="A39" i="14"/>
  <c r="E38" i="14"/>
  <c r="D38" i="14"/>
  <c r="C38" i="14"/>
  <c r="B38" i="14"/>
  <c r="A38" i="14"/>
  <c r="E37" i="14"/>
  <c r="D37" i="14"/>
  <c r="C37" i="14"/>
  <c r="B37" i="14"/>
  <c r="A37" i="14"/>
  <c r="E36" i="14"/>
  <c r="D36" i="14"/>
  <c r="C36" i="14"/>
  <c r="B36" i="14"/>
  <c r="A36" i="14"/>
  <c r="E35" i="14"/>
  <c r="D35" i="14"/>
  <c r="C35" i="14"/>
  <c r="B35" i="14"/>
  <c r="A35" i="14"/>
  <c r="E34" i="14"/>
  <c r="D34" i="14"/>
  <c r="C34" i="14"/>
  <c r="B34" i="14"/>
  <c r="A34" i="14"/>
  <c r="E33" i="14"/>
  <c r="D33" i="14"/>
  <c r="C33" i="14"/>
  <c r="B33" i="14"/>
  <c r="A33" i="14"/>
  <c r="E32" i="14"/>
  <c r="D32" i="14"/>
  <c r="C32" i="14"/>
  <c r="B32" i="14"/>
  <c r="A32" i="14"/>
  <c r="E31" i="14"/>
  <c r="D31" i="14"/>
  <c r="C31" i="14"/>
  <c r="B31" i="14"/>
  <c r="A31" i="14"/>
  <c r="E30" i="14"/>
  <c r="D30" i="14"/>
  <c r="C30" i="14"/>
  <c r="B30" i="14"/>
  <c r="A30" i="14"/>
  <c r="E29" i="14"/>
  <c r="D29" i="14"/>
  <c r="C29" i="14"/>
  <c r="B29" i="14"/>
  <c r="A29" i="14"/>
  <c r="E28" i="14"/>
  <c r="D28" i="14"/>
  <c r="C28" i="14"/>
  <c r="B28" i="14"/>
  <c r="A28" i="14"/>
  <c r="E27" i="14"/>
  <c r="D27" i="14"/>
  <c r="C27" i="14"/>
  <c r="B27" i="14"/>
  <c r="A27" i="14"/>
  <c r="E26" i="14"/>
  <c r="D26" i="14"/>
  <c r="C26" i="14"/>
  <c r="B26" i="14"/>
  <c r="A26" i="14"/>
  <c r="E25" i="14"/>
  <c r="D25" i="14"/>
  <c r="C25" i="14"/>
  <c r="B25" i="14"/>
  <c r="A25" i="14"/>
  <c r="E24" i="14"/>
  <c r="D24" i="14"/>
  <c r="C24" i="14"/>
  <c r="B24" i="14"/>
  <c r="A24" i="14"/>
  <c r="E23" i="14"/>
  <c r="D23" i="14"/>
  <c r="C23" i="14"/>
  <c r="B23" i="14"/>
  <c r="A23" i="14"/>
  <c r="E22" i="14"/>
  <c r="D22" i="14"/>
  <c r="C22" i="14"/>
  <c r="B22" i="14"/>
  <c r="A22" i="14"/>
  <c r="E21" i="14"/>
  <c r="D21" i="14"/>
  <c r="C21" i="14"/>
  <c r="B21" i="14"/>
  <c r="A21" i="14"/>
  <c r="E20" i="14"/>
  <c r="D20" i="14"/>
  <c r="C20" i="14"/>
  <c r="B20" i="14"/>
  <c r="A20" i="14"/>
  <c r="E19" i="14"/>
  <c r="D19" i="14"/>
  <c r="C19" i="14"/>
  <c r="B19" i="14"/>
  <c r="A19" i="14"/>
  <c r="E18" i="14"/>
  <c r="D18" i="14"/>
  <c r="C18" i="14"/>
  <c r="B18" i="14"/>
  <c r="A18" i="14"/>
  <c r="E17" i="14"/>
  <c r="D17" i="14"/>
  <c r="C17" i="14"/>
  <c r="B17" i="14"/>
  <c r="A17" i="14"/>
  <c r="E16" i="14"/>
  <c r="D16" i="14"/>
  <c r="C16" i="14"/>
  <c r="B16" i="14"/>
  <c r="A16" i="14"/>
  <c r="E15" i="14"/>
  <c r="D15" i="14"/>
  <c r="C15" i="14"/>
  <c r="B15" i="14"/>
  <c r="A15" i="14"/>
  <c r="E14" i="14"/>
  <c r="D14" i="14"/>
  <c r="C14" i="14"/>
  <c r="B14" i="14"/>
  <c r="A14" i="14"/>
  <c r="E13" i="14"/>
  <c r="D13" i="14"/>
  <c r="C13" i="14"/>
  <c r="A13" i="14"/>
  <c r="E12" i="14"/>
  <c r="D12" i="14"/>
  <c r="C12" i="14"/>
  <c r="B12" i="14"/>
  <c r="A12" i="14"/>
  <c r="E11" i="14"/>
  <c r="D11" i="14"/>
  <c r="C11" i="14"/>
  <c r="B11" i="14"/>
  <c r="A11" i="14"/>
  <c r="E10" i="14"/>
  <c r="D10" i="14"/>
  <c r="C10" i="14"/>
  <c r="B10" i="14"/>
  <c r="A10" i="14"/>
  <c r="E9" i="14"/>
  <c r="D9" i="14"/>
  <c r="C9" i="14"/>
  <c r="B9" i="14"/>
  <c r="A9" i="14"/>
  <c r="E8" i="14"/>
  <c r="D8" i="14"/>
  <c r="C8" i="14"/>
  <c r="B8" i="14"/>
  <c r="A8" i="14"/>
  <c r="E7" i="14"/>
  <c r="D7" i="14"/>
  <c r="C7" i="14"/>
  <c r="B7" i="14"/>
  <c r="A7" i="14"/>
  <c r="E6" i="14"/>
  <c r="D6" i="14"/>
  <c r="C6" i="14"/>
  <c r="B6" i="14"/>
  <c r="A6" i="14"/>
  <c r="E5" i="14"/>
  <c r="D5" i="14"/>
  <c r="C5" i="14"/>
  <c r="B5" i="14"/>
  <c r="A5" i="14"/>
  <c r="E39" i="12"/>
  <c r="D39" i="12"/>
  <c r="C39" i="12"/>
  <c r="B39" i="12"/>
  <c r="A39" i="12"/>
  <c r="E38" i="12"/>
  <c r="D38" i="12"/>
  <c r="C38" i="12"/>
  <c r="B38" i="12"/>
  <c r="A38" i="12"/>
  <c r="E37" i="12"/>
  <c r="D37" i="12"/>
  <c r="C37" i="12"/>
  <c r="B37" i="12"/>
  <c r="A37" i="12"/>
  <c r="E36" i="12"/>
  <c r="D36" i="12"/>
  <c r="C36" i="12"/>
  <c r="B36" i="12"/>
  <c r="A36" i="12"/>
  <c r="E35" i="12"/>
  <c r="D35" i="12"/>
  <c r="C35" i="12"/>
  <c r="B35" i="12"/>
  <c r="A35" i="12"/>
  <c r="E34" i="12"/>
  <c r="D34" i="12"/>
  <c r="C34" i="12"/>
  <c r="B34" i="12"/>
  <c r="A34" i="12"/>
  <c r="E33" i="12"/>
  <c r="D33" i="12"/>
  <c r="C33" i="12"/>
  <c r="B33" i="12"/>
  <c r="A33" i="12"/>
  <c r="E32" i="12"/>
  <c r="D32" i="12"/>
  <c r="C32" i="12"/>
  <c r="B32" i="12"/>
  <c r="A32" i="12"/>
  <c r="E31" i="12"/>
  <c r="D31" i="12"/>
  <c r="C31" i="12"/>
  <c r="B31" i="12"/>
  <c r="A31" i="12"/>
  <c r="E30" i="12"/>
  <c r="D30" i="12"/>
  <c r="C30" i="12"/>
  <c r="B30" i="12"/>
  <c r="A30" i="12"/>
  <c r="E29" i="12"/>
  <c r="D29" i="12"/>
  <c r="C29" i="12"/>
  <c r="B29" i="12"/>
  <c r="A29" i="12"/>
  <c r="E28" i="12"/>
  <c r="D28" i="12"/>
  <c r="C28" i="12"/>
  <c r="B28" i="12"/>
  <c r="A28" i="12"/>
  <c r="E27" i="12"/>
  <c r="D27" i="12"/>
  <c r="C27" i="12"/>
  <c r="B27" i="12"/>
  <c r="A27" i="12"/>
  <c r="E26" i="12"/>
  <c r="D26" i="12"/>
  <c r="C26" i="12"/>
  <c r="B26" i="12"/>
  <c r="A26" i="12"/>
  <c r="E25" i="12"/>
  <c r="D25" i="12"/>
  <c r="C25" i="12"/>
  <c r="B25" i="12"/>
  <c r="A25" i="12"/>
  <c r="E24" i="12"/>
  <c r="D24" i="12"/>
  <c r="C24" i="12"/>
  <c r="B24" i="12"/>
  <c r="A24" i="12"/>
  <c r="E23" i="12"/>
  <c r="D23" i="12"/>
  <c r="C23" i="12"/>
  <c r="B23" i="12"/>
  <c r="A23" i="12"/>
  <c r="E22" i="12"/>
  <c r="D22" i="12"/>
  <c r="C22" i="12"/>
  <c r="B22" i="12"/>
  <c r="A22" i="12"/>
  <c r="E21" i="12"/>
  <c r="D21" i="12"/>
  <c r="C21" i="12"/>
  <c r="B21" i="12"/>
  <c r="A21" i="12"/>
  <c r="E20" i="12"/>
  <c r="D20" i="12"/>
  <c r="C20" i="12"/>
  <c r="B20" i="12"/>
  <c r="A20" i="12"/>
  <c r="E19" i="12"/>
  <c r="D19" i="12"/>
  <c r="C19" i="12"/>
  <c r="B19" i="12"/>
  <c r="A19" i="12"/>
  <c r="E18" i="12"/>
  <c r="D18" i="12"/>
  <c r="C18" i="12"/>
  <c r="B18" i="12"/>
  <c r="A18" i="12"/>
  <c r="E17" i="12"/>
  <c r="D17" i="12"/>
  <c r="C17" i="12"/>
  <c r="B17" i="12"/>
  <c r="A17" i="12"/>
  <c r="E16" i="12"/>
  <c r="D16" i="12"/>
  <c r="C16" i="12"/>
  <c r="B16" i="12"/>
  <c r="A16" i="12"/>
  <c r="E15" i="12"/>
  <c r="D15" i="12"/>
  <c r="C15" i="12"/>
  <c r="B15" i="12"/>
  <c r="A15" i="12"/>
  <c r="E14" i="12"/>
  <c r="D14" i="12"/>
  <c r="C14" i="12"/>
  <c r="B14" i="12"/>
  <c r="A14" i="12"/>
  <c r="E13" i="12"/>
  <c r="D13" i="12"/>
  <c r="C13" i="12"/>
  <c r="B13" i="12"/>
  <c r="A13" i="12"/>
  <c r="E12" i="12"/>
  <c r="D12" i="12"/>
  <c r="C12" i="12"/>
  <c r="B12" i="12"/>
  <c r="A12" i="12"/>
  <c r="E11" i="12"/>
  <c r="D11" i="12"/>
  <c r="C11" i="12"/>
  <c r="B11" i="12"/>
  <c r="A11" i="12"/>
  <c r="E10" i="12"/>
  <c r="D10" i="12"/>
  <c r="C10" i="12"/>
  <c r="B10" i="12"/>
  <c r="A10" i="12"/>
  <c r="E9" i="12"/>
  <c r="D9" i="12"/>
  <c r="C9" i="12"/>
  <c r="B9" i="12"/>
  <c r="A9" i="12"/>
  <c r="E8" i="12"/>
  <c r="D8" i="12"/>
  <c r="C8" i="12"/>
  <c r="B8" i="12"/>
  <c r="A8" i="12"/>
  <c r="E7" i="12"/>
  <c r="D7" i="12"/>
  <c r="C7" i="12"/>
  <c r="B7" i="12"/>
  <c r="A7" i="12"/>
  <c r="E6" i="12"/>
  <c r="D6" i="12"/>
  <c r="C6" i="12"/>
  <c r="B6" i="12"/>
  <c r="A6" i="12"/>
  <c r="E5" i="12"/>
  <c r="D5" i="12"/>
  <c r="C5" i="12"/>
  <c r="B5" i="12"/>
  <c r="A5" i="12"/>
  <c r="E4" i="12"/>
  <c r="D4" i="12"/>
  <c r="C4" i="12"/>
  <c r="A4" i="12"/>
  <c r="E48" i="10"/>
  <c r="D48" i="10"/>
  <c r="C48" i="10"/>
  <c r="B48" i="10"/>
  <c r="A48" i="10"/>
  <c r="E47" i="10"/>
  <c r="D47" i="10"/>
  <c r="C47" i="10"/>
  <c r="B47" i="10"/>
  <c r="A47" i="10"/>
  <c r="E46" i="10"/>
  <c r="D46" i="10"/>
  <c r="C46" i="10"/>
  <c r="B46" i="10"/>
  <c r="A46" i="10"/>
  <c r="E45" i="10"/>
  <c r="D45" i="10"/>
  <c r="C45" i="10"/>
  <c r="B45" i="10"/>
  <c r="A45" i="10"/>
  <c r="E44" i="10"/>
  <c r="D44" i="10"/>
  <c r="C44" i="10"/>
  <c r="B44" i="10"/>
  <c r="A44" i="10"/>
  <c r="E43" i="10"/>
  <c r="D43" i="10"/>
  <c r="C43" i="10"/>
  <c r="B43" i="10"/>
  <c r="A43" i="10"/>
  <c r="E42" i="10"/>
  <c r="D42" i="10"/>
  <c r="C42" i="10"/>
  <c r="B42" i="10"/>
  <c r="A42" i="10"/>
  <c r="E41" i="10"/>
  <c r="D41" i="10"/>
  <c r="C41" i="10"/>
  <c r="B41" i="10"/>
  <c r="A41" i="10"/>
  <c r="E40" i="10"/>
  <c r="D40" i="10"/>
  <c r="C40" i="10"/>
  <c r="B40" i="10"/>
  <c r="A40" i="10"/>
  <c r="E39" i="10"/>
  <c r="D39" i="10"/>
  <c r="C39" i="10"/>
  <c r="B39" i="10"/>
  <c r="A39" i="10"/>
  <c r="E38" i="10"/>
  <c r="D38" i="10"/>
  <c r="C38" i="10"/>
  <c r="B38" i="10"/>
  <c r="A38" i="10"/>
  <c r="E37" i="10"/>
  <c r="D37" i="10"/>
  <c r="C37" i="10"/>
  <c r="B37" i="10"/>
  <c r="A37" i="10"/>
  <c r="E36" i="10"/>
  <c r="D36" i="10"/>
  <c r="C36" i="10"/>
  <c r="B36" i="10"/>
  <c r="A36" i="10"/>
  <c r="E35" i="10"/>
  <c r="D35" i="10"/>
  <c r="C35" i="10"/>
  <c r="B35" i="10"/>
  <c r="A35" i="10"/>
  <c r="E34" i="10"/>
  <c r="D34" i="10"/>
  <c r="C34" i="10"/>
  <c r="B34" i="10"/>
  <c r="A34" i="10"/>
  <c r="E33" i="10"/>
  <c r="D33" i="10"/>
  <c r="C33" i="10"/>
  <c r="B33" i="10"/>
  <c r="A33" i="10"/>
  <c r="E32" i="10"/>
  <c r="D32" i="10"/>
  <c r="C32" i="10"/>
  <c r="B32" i="10"/>
  <c r="A32" i="10"/>
  <c r="E31" i="10"/>
  <c r="D31" i="10"/>
  <c r="C31" i="10"/>
  <c r="B31" i="10"/>
  <c r="A31" i="10"/>
  <c r="E30" i="10"/>
  <c r="D30" i="10"/>
  <c r="C30" i="10"/>
  <c r="B30" i="10"/>
  <c r="A30" i="10"/>
  <c r="E29" i="10"/>
  <c r="D29" i="10"/>
  <c r="C29" i="10"/>
  <c r="B29" i="10"/>
  <c r="A29" i="10"/>
  <c r="E28" i="10"/>
  <c r="D28" i="10"/>
  <c r="C28" i="10"/>
  <c r="B28" i="10"/>
  <c r="A28" i="10"/>
  <c r="E27" i="10"/>
  <c r="D27" i="10"/>
  <c r="C27" i="10"/>
  <c r="A27" i="10"/>
  <c r="E26" i="10"/>
  <c r="D26" i="10"/>
  <c r="C26" i="10"/>
  <c r="B26" i="10"/>
  <c r="A26" i="10"/>
  <c r="E25" i="10"/>
  <c r="D25" i="10"/>
  <c r="C25" i="10"/>
  <c r="B25" i="10"/>
  <c r="A25" i="10"/>
  <c r="E24" i="10"/>
  <c r="D24" i="10"/>
  <c r="C24" i="10"/>
  <c r="B24" i="10"/>
  <c r="A24" i="10"/>
  <c r="E23" i="10"/>
  <c r="D23" i="10"/>
  <c r="C23" i="10"/>
  <c r="B23" i="10"/>
  <c r="A23" i="10"/>
  <c r="E22" i="10"/>
  <c r="D22" i="10"/>
  <c r="C22" i="10"/>
  <c r="B22" i="10"/>
  <c r="A22" i="10"/>
  <c r="E21" i="10"/>
  <c r="D21" i="10"/>
  <c r="C21" i="10"/>
  <c r="B21" i="10"/>
  <c r="A21" i="10"/>
  <c r="E20" i="10"/>
  <c r="D20" i="10"/>
  <c r="C20" i="10"/>
  <c r="A20" i="10"/>
  <c r="E19" i="10"/>
  <c r="D19" i="10"/>
  <c r="C19" i="10"/>
  <c r="B19" i="10"/>
  <c r="A19" i="10"/>
  <c r="E18" i="10"/>
  <c r="D18" i="10"/>
  <c r="C18" i="10"/>
  <c r="B18" i="10"/>
  <c r="A18" i="10"/>
  <c r="E17" i="10"/>
  <c r="D17" i="10"/>
  <c r="C17" i="10"/>
  <c r="B17" i="10"/>
  <c r="A17" i="10"/>
  <c r="E16" i="10"/>
  <c r="D16" i="10"/>
  <c r="C16" i="10"/>
  <c r="B16" i="10"/>
  <c r="A16" i="10"/>
  <c r="E15" i="10"/>
  <c r="D15" i="10"/>
  <c r="C15" i="10"/>
  <c r="B15" i="10"/>
  <c r="A15" i="10"/>
  <c r="E14" i="10"/>
  <c r="D14" i="10"/>
  <c r="C14" i="10"/>
  <c r="B14" i="10"/>
  <c r="A14" i="10"/>
  <c r="E13" i="10"/>
  <c r="D13" i="10"/>
  <c r="C13" i="10"/>
  <c r="B13" i="10"/>
  <c r="A13" i="10"/>
  <c r="E12" i="10"/>
  <c r="D12" i="10"/>
  <c r="C12" i="10"/>
  <c r="B12" i="10"/>
  <c r="A12" i="10"/>
  <c r="E11" i="10"/>
  <c r="D11" i="10"/>
  <c r="C11" i="10"/>
  <c r="B11" i="10"/>
  <c r="A11" i="10"/>
  <c r="E10" i="10"/>
  <c r="D10" i="10"/>
  <c r="C10" i="10"/>
  <c r="B10" i="10"/>
  <c r="A10" i="10"/>
  <c r="E9" i="10"/>
  <c r="D9" i="10"/>
  <c r="C9" i="10"/>
  <c r="B9" i="10"/>
  <c r="A9" i="10"/>
  <c r="E8" i="10"/>
  <c r="D8" i="10"/>
  <c r="C8" i="10"/>
  <c r="B8" i="10"/>
  <c r="A8" i="10"/>
  <c r="E7" i="10"/>
  <c r="D7" i="10"/>
  <c r="C7" i="10"/>
  <c r="B7" i="10"/>
  <c r="A7" i="10"/>
  <c r="E6" i="10"/>
  <c r="D6" i="10"/>
  <c r="C6" i="10"/>
  <c r="B6" i="10"/>
  <c r="A6" i="10"/>
  <c r="E5" i="10"/>
  <c r="D5" i="10"/>
  <c r="C5" i="10"/>
  <c r="A5" i="10"/>
  <c r="E74" i="8"/>
  <c r="D74" i="8"/>
  <c r="C74" i="8"/>
  <c r="B74" i="8"/>
  <c r="A74" i="8"/>
  <c r="E73" i="8"/>
  <c r="D73" i="8"/>
  <c r="C73" i="8"/>
  <c r="B73" i="8"/>
  <c r="A73" i="8"/>
  <c r="E72" i="8"/>
  <c r="D72" i="8"/>
  <c r="C72" i="8"/>
  <c r="B72" i="8"/>
  <c r="A72" i="8"/>
  <c r="E71" i="8"/>
  <c r="D71" i="8"/>
  <c r="C71" i="8"/>
  <c r="B71" i="8"/>
  <c r="A71" i="8"/>
  <c r="E70" i="8"/>
  <c r="D70" i="8"/>
  <c r="C70" i="8"/>
  <c r="B70" i="8"/>
  <c r="A70" i="8"/>
  <c r="E69" i="8"/>
  <c r="D69" i="8"/>
  <c r="C69" i="8"/>
  <c r="B69" i="8"/>
  <c r="A69" i="8"/>
  <c r="E68" i="8"/>
  <c r="D68" i="8"/>
  <c r="C68" i="8"/>
  <c r="B68" i="8"/>
  <c r="A68" i="8"/>
  <c r="E67" i="8"/>
  <c r="D67" i="8"/>
  <c r="C67" i="8"/>
  <c r="B67" i="8"/>
  <c r="A67" i="8"/>
  <c r="E66" i="8"/>
  <c r="D66" i="8"/>
  <c r="C66" i="8"/>
  <c r="B66" i="8"/>
  <c r="A66" i="8"/>
  <c r="E65" i="8"/>
  <c r="D65" i="8"/>
  <c r="C65" i="8"/>
  <c r="B65" i="8"/>
  <c r="A65" i="8"/>
  <c r="E64" i="8"/>
  <c r="D64" i="8"/>
  <c r="C64" i="8"/>
  <c r="B64" i="8"/>
  <c r="A64" i="8"/>
  <c r="E63" i="8"/>
  <c r="D63" i="8"/>
  <c r="C63" i="8"/>
  <c r="B63" i="8"/>
  <c r="A63" i="8"/>
  <c r="E62" i="8"/>
  <c r="D62" i="8"/>
  <c r="C62" i="8"/>
  <c r="B62" i="8"/>
  <c r="A62" i="8"/>
  <c r="E61" i="8"/>
  <c r="D61" i="8"/>
  <c r="C61" i="8"/>
  <c r="B61" i="8"/>
  <c r="A61" i="8"/>
  <c r="E60" i="8"/>
  <c r="D60" i="8"/>
  <c r="C60" i="8"/>
  <c r="B60" i="8"/>
  <c r="A60" i="8"/>
  <c r="E59" i="8"/>
  <c r="D59" i="8"/>
  <c r="C59" i="8"/>
  <c r="B59" i="8"/>
  <c r="A59" i="8"/>
  <c r="E58" i="8"/>
  <c r="D58" i="8"/>
  <c r="C58" i="8"/>
  <c r="B58" i="8"/>
  <c r="A58" i="8"/>
  <c r="E57" i="8"/>
  <c r="D57" i="8"/>
  <c r="C57" i="8"/>
  <c r="B57" i="8"/>
  <c r="A57" i="8"/>
  <c r="E56" i="8"/>
  <c r="D56" i="8"/>
  <c r="C56" i="8"/>
  <c r="B56" i="8"/>
  <c r="A56" i="8"/>
  <c r="E55" i="8"/>
  <c r="D55" i="8"/>
  <c r="C55" i="8"/>
  <c r="A55" i="8"/>
  <c r="E54" i="8"/>
  <c r="D54" i="8"/>
  <c r="C54" i="8"/>
  <c r="B54" i="8"/>
  <c r="A54" i="8"/>
  <c r="E53" i="8"/>
  <c r="D53" i="8"/>
  <c r="C53" i="8"/>
  <c r="B53" i="8"/>
  <c r="A53" i="8"/>
  <c r="E52" i="8"/>
  <c r="D52" i="8"/>
  <c r="C52" i="8"/>
  <c r="B52" i="8"/>
  <c r="A52" i="8"/>
  <c r="E51" i="8"/>
  <c r="D51" i="8"/>
  <c r="C51" i="8"/>
  <c r="B51" i="8"/>
  <c r="A51" i="8"/>
  <c r="E50" i="8"/>
  <c r="D50" i="8"/>
  <c r="C50" i="8"/>
  <c r="B50" i="8"/>
  <c r="A50" i="8"/>
  <c r="E49" i="8"/>
  <c r="D49" i="8"/>
  <c r="C49" i="8"/>
  <c r="B49" i="8"/>
  <c r="A49" i="8"/>
  <c r="E48" i="8"/>
  <c r="D48" i="8"/>
  <c r="C48" i="8"/>
  <c r="B48" i="8"/>
  <c r="A48" i="8"/>
  <c r="E47" i="8"/>
  <c r="D47" i="8"/>
  <c r="C47" i="8"/>
  <c r="B47" i="8"/>
  <c r="A47" i="8"/>
  <c r="E46" i="8"/>
  <c r="D46" i="8"/>
  <c r="C46" i="8"/>
  <c r="B46" i="8"/>
  <c r="A46" i="8"/>
  <c r="E45" i="8"/>
  <c r="D45" i="8"/>
  <c r="C45" i="8"/>
  <c r="A45" i="8"/>
  <c r="E44" i="8"/>
  <c r="D44" i="8"/>
  <c r="C44" i="8"/>
  <c r="B44" i="8"/>
  <c r="A44" i="8"/>
  <c r="E43" i="8"/>
  <c r="D43" i="8"/>
  <c r="C43" i="8"/>
  <c r="B43" i="8"/>
  <c r="A43" i="8"/>
  <c r="E42" i="8"/>
  <c r="D42" i="8"/>
  <c r="C42" i="8"/>
  <c r="B42" i="8"/>
  <c r="A42" i="8"/>
  <c r="E41" i="8"/>
  <c r="D41" i="8"/>
  <c r="C41" i="8"/>
  <c r="B41" i="8"/>
  <c r="A41" i="8"/>
  <c r="E40" i="8"/>
  <c r="D40" i="8"/>
  <c r="C40" i="8"/>
  <c r="B40" i="8"/>
  <c r="A40" i="8"/>
  <c r="E39" i="8"/>
  <c r="D39" i="8"/>
  <c r="C39" i="8"/>
  <c r="A39" i="8"/>
  <c r="E38" i="8"/>
  <c r="D38" i="8"/>
  <c r="C38" i="8"/>
  <c r="B38" i="8"/>
  <c r="A38" i="8"/>
  <c r="E37" i="8"/>
  <c r="D37" i="8"/>
  <c r="C37" i="8"/>
  <c r="B37" i="8"/>
  <c r="A37" i="8"/>
  <c r="E36" i="8"/>
  <c r="D36" i="8"/>
  <c r="C36" i="8"/>
  <c r="B36" i="8"/>
  <c r="A36" i="8"/>
  <c r="E35" i="8"/>
  <c r="D35" i="8"/>
  <c r="C35" i="8"/>
  <c r="B35" i="8"/>
  <c r="A35" i="8"/>
  <c r="E34" i="8"/>
  <c r="D34" i="8"/>
  <c r="C34" i="8"/>
  <c r="B34" i="8"/>
  <c r="A34" i="8"/>
  <c r="E33" i="8"/>
  <c r="D33" i="8"/>
  <c r="C33" i="8"/>
  <c r="B33" i="8"/>
  <c r="A33" i="8"/>
  <c r="E32" i="8"/>
  <c r="D32" i="8"/>
  <c r="C32" i="8"/>
  <c r="B32" i="8"/>
  <c r="A32" i="8"/>
  <c r="E31" i="8"/>
  <c r="D31" i="8"/>
  <c r="C31" i="8"/>
  <c r="B31" i="8"/>
  <c r="A31" i="8"/>
  <c r="E30" i="8"/>
  <c r="D30" i="8"/>
  <c r="C30" i="8"/>
  <c r="B30" i="8"/>
  <c r="A30" i="8"/>
  <c r="E29" i="8"/>
  <c r="D29" i="8"/>
  <c r="C29" i="8"/>
  <c r="B29" i="8"/>
  <c r="A29" i="8"/>
  <c r="E28" i="8"/>
  <c r="D28" i="8"/>
  <c r="C28" i="8"/>
  <c r="B28" i="8"/>
  <c r="A28" i="8"/>
  <c r="E27" i="8"/>
  <c r="D27" i="8"/>
  <c r="C27" i="8"/>
  <c r="B27" i="8"/>
  <c r="A27" i="8"/>
  <c r="E26" i="8"/>
  <c r="D26" i="8"/>
  <c r="C26" i="8"/>
  <c r="B26" i="8"/>
  <c r="A26" i="8"/>
  <c r="E25" i="8"/>
  <c r="D25" i="8"/>
  <c r="C25" i="8"/>
  <c r="B25" i="8"/>
  <c r="A25" i="8"/>
  <c r="E24" i="8"/>
  <c r="D24" i="8"/>
  <c r="C24" i="8"/>
  <c r="B24" i="8"/>
  <c r="A24" i="8"/>
  <c r="E23" i="8"/>
  <c r="D23" i="8"/>
  <c r="C23" i="8"/>
  <c r="B23" i="8"/>
  <c r="A23" i="8"/>
  <c r="E22" i="8"/>
  <c r="D22" i="8"/>
  <c r="C22" i="8"/>
  <c r="A22" i="8"/>
  <c r="E21" i="8"/>
  <c r="D21" i="8"/>
  <c r="C21" i="8"/>
  <c r="B21" i="8"/>
  <c r="A21" i="8"/>
  <c r="E20" i="8"/>
  <c r="D20" i="8"/>
  <c r="C20" i="8"/>
  <c r="B20" i="8"/>
  <c r="A20" i="8"/>
  <c r="E19" i="8"/>
  <c r="D19" i="8"/>
  <c r="C19" i="8"/>
  <c r="B19" i="8"/>
  <c r="A19" i="8"/>
  <c r="E18" i="8"/>
  <c r="D18" i="8"/>
  <c r="C18" i="8"/>
  <c r="B18" i="8"/>
  <c r="A18" i="8"/>
  <c r="E17" i="8"/>
  <c r="D17" i="8"/>
  <c r="C17" i="8"/>
  <c r="B17" i="8"/>
  <c r="A17" i="8"/>
  <c r="E16" i="8"/>
  <c r="D16" i="8"/>
  <c r="C16" i="8"/>
  <c r="B16" i="8"/>
  <c r="A16" i="8"/>
  <c r="E15" i="8"/>
  <c r="D15" i="8"/>
  <c r="C15" i="8"/>
  <c r="B15" i="8"/>
  <c r="A15" i="8"/>
  <c r="E14" i="8"/>
  <c r="D14" i="8"/>
  <c r="C14" i="8"/>
  <c r="B14" i="8"/>
  <c r="A14" i="8"/>
  <c r="E13" i="8"/>
  <c r="D13" i="8"/>
  <c r="C13" i="8"/>
  <c r="B13" i="8"/>
  <c r="A13" i="8"/>
  <c r="E12" i="8"/>
  <c r="D12" i="8"/>
  <c r="C12" i="8"/>
  <c r="B12" i="8"/>
  <c r="A12" i="8"/>
  <c r="E11" i="8"/>
  <c r="D11" i="8"/>
  <c r="C11" i="8"/>
  <c r="B11" i="8"/>
  <c r="A11" i="8"/>
  <c r="E10" i="8"/>
  <c r="D10" i="8"/>
  <c r="C10" i="8"/>
  <c r="B10" i="8"/>
  <c r="A10" i="8"/>
  <c r="E9" i="8"/>
  <c r="D9" i="8"/>
  <c r="C9" i="8"/>
  <c r="B9" i="8"/>
  <c r="A9" i="8"/>
  <c r="E8" i="8"/>
  <c r="D8" i="8"/>
  <c r="C8" i="8"/>
  <c r="B8" i="8"/>
  <c r="A8" i="8"/>
  <c r="E7" i="8"/>
  <c r="D7" i="8"/>
  <c r="C7" i="8"/>
  <c r="B7" i="8"/>
  <c r="A7" i="8"/>
  <c r="E6" i="8"/>
  <c r="D6" i="8"/>
  <c r="C6" i="8"/>
  <c r="B6" i="8"/>
  <c r="A6" i="8"/>
  <c r="E5" i="8"/>
  <c r="D5" i="8"/>
  <c r="C5" i="8"/>
  <c r="B5" i="8"/>
  <c r="A5" i="8"/>
  <c r="E48" i="6"/>
  <c r="D48" i="6"/>
  <c r="C48" i="6"/>
  <c r="B48" i="6"/>
  <c r="A48" i="6"/>
  <c r="E47" i="6"/>
  <c r="D47" i="6"/>
  <c r="C47" i="6"/>
  <c r="B47" i="6"/>
  <c r="A47" i="6"/>
  <c r="E46" i="6"/>
  <c r="D46" i="6"/>
  <c r="C46" i="6"/>
  <c r="B46" i="6"/>
  <c r="A46" i="6"/>
  <c r="E45" i="6"/>
  <c r="D45" i="6"/>
  <c r="C45" i="6"/>
  <c r="B45" i="6"/>
  <c r="A45" i="6"/>
  <c r="E44" i="6"/>
  <c r="D44" i="6"/>
  <c r="C44" i="6"/>
  <c r="B44" i="6"/>
  <c r="A44" i="6"/>
  <c r="E43" i="6"/>
  <c r="D43" i="6"/>
  <c r="C43" i="6"/>
  <c r="B43" i="6"/>
  <c r="A43" i="6"/>
  <c r="E42" i="6"/>
  <c r="D42" i="6"/>
  <c r="C42" i="6"/>
  <c r="B42" i="6"/>
  <c r="A42" i="6"/>
  <c r="E41" i="6"/>
  <c r="D41" i="6"/>
  <c r="C41" i="6"/>
  <c r="B41" i="6"/>
  <c r="A41" i="6"/>
  <c r="E40" i="6"/>
  <c r="D40" i="6"/>
  <c r="C40" i="6"/>
  <c r="B40" i="6"/>
  <c r="A40" i="6"/>
  <c r="E39" i="6"/>
  <c r="D39" i="6"/>
  <c r="C39" i="6"/>
  <c r="B39" i="6"/>
  <c r="A39" i="6"/>
  <c r="E38" i="6"/>
  <c r="D38" i="6"/>
  <c r="C38" i="6"/>
  <c r="B38" i="6"/>
  <c r="A38" i="6"/>
  <c r="E37" i="6"/>
  <c r="D37" i="6"/>
  <c r="C37" i="6"/>
  <c r="B37" i="6"/>
  <c r="A37" i="6"/>
  <c r="E36" i="6"/>
  <c r="D36" i="6"/>
  <c r="C36" i="6"/>
  <c r="B36" i="6"/>
  <c r="A36" i="6"/>
  <c r="E35" i="6"/>
  <c r="D35" i="6"/>
  <c r="C35" i="6"/>
  <c r="B35" i="6"/>
  <c r="A35" i="6"/>
  <c r="E34" i="6"/>
  <c r="D34" i="6"/>
  <c r="C34" i="6"/>
  <c r="B34" i="6"/>
  <c r="A34" i="6"/>
  <c r="E33" i="6"/>
  <c r="D33" i="6"/>
  <c r="C33" i="6"/>
  <c r="B33" i="6"/>
  <c r="A33" i="6"/>
  <c r="E32" i="6"/>
  <c r="D32" i="6"/>
  <c r="C32" i="6"/>
  <c r="B32" i="6"/>
  <c r="A32" i="6"/>
  <c r="E31" i="6"/>
  <c r="D31" i="6"/>
  <c r="C31" i="6"/>
  <c r="B31" i="6"/>
  <c r="A31" i="6"/>
  <c r="E30" i="6"/>
  <c r="D30" i="6"/>
  <c r="C30" i="6"/>
  <c r="B30" i="6"/>
  <c r="A30" i="6"/>
  <c r="E29" i="6"/>
  <c r="D29" i="6"/>
  <c r="C29" i="6"/>
  <c r="B29" i="6"/>
  <c r="A29" i="6"/>
  <c r="E28" i="6"/>
  <c r="D28" i="6"/>
  <c r="C28" i="6"/>
  <c r="B28" i="6"/>
  <c r="A28" i="6"/>
  <c r="E27" i="6"/>
  <c r="D27" i="6"/>
  <c r="C27" i="6"/>
  <c r="B27" i="6"/>
  <c r="A27" i="6"/>
  <c r="E26" i="6"/>
  <c r="D26" i="6"/>
  <c r="C26" i="6"/>
  <c r="B26" i="6"/>
  <c r="A26" i="6"/>
  <c r="E25" i="6"/>
  <c r="D25" i="6"/>
  <c r="C25" i="6"/>
  <c r="B25" i="6"/>
  <c r="A25" i="6"/>
  <c r="E24" i="6"/>
  <c r="D24" i="6"/>
  <c r="C24" i="6"/>
  <c r="B24" i="6"/>
  <c r="A24" i="6"/>
  <c r="E23" i="6"/>
  <c r="D23" i="6"/>
  <c r="C23" i="6"/>
  <c r="B23" i="6"/>
  <c r="A23" i="6"/>
  <c r="E22" i="6"/>
  <c r="D22" i="6"/>
  <c r="C22" i="6"/>
  <c r="B22" i="6"/>
  <c r="A22" i="6"/>
  <c r="E21" i="6"/>
  <c r="D21" i="6"/>
  <c r="C21" i="6"/>
  <c r="B21" i="6"/>
  <c r="A21" i="6"/>
  <c r="E20" i="6"/>
  <c r="D20" i="6"/>
  <c r="C20" i="6"/>
  <c r="B20" i="6"/>
  <c r="A20" i="6"/>
  <c r="E19" i="6"/>
  <c r="D19" i="6"/>
  <c r="C19" i="6"/>
  <c r="B19" i="6"/>
  <c r="A19" i="6"/>
  <c r="E18" i="6"/>
  <c r="D18" i="6"/>
  <c r="C18" i="6"/>
  <c r="A18" i="6"/>
  <c r="E17" i="6"/>
  <c r="D17" i="6"/>
  <c r="C17" i="6"/>
  <c r="B17" i="6"/>
  <c r="A17" i="6"/>
  <c r="E16" i="6"/>
  <c r="D16" i="6"/>
  <c r="C16" i="6"/>
  <c r="B16" i="6"/>
  <c r="A16" i="6"/>
  <c r="E15" i="6"/>
  <c r="D15" i="6"/>
  <c r="C15" i="6"/>
  <c r="B15" i="6"/>
  <c r="A15" i="6"/>
  <c r="E14" i="6"/>
  <c r="D14" i="6"/>
  <c r="C14" i="6"/>
  <c r="B14" i="6"/>
  <c r="A14" i="6"/>
  <c r="E13" i="6"/>
  <c r="D13" i="6"/>
  <c r="C13" i="6"/>
  <c r="B13" i="6"/>
  <c r="A13" i="6"/>
  <c r="E12" i="6"/>
  <c r="D12" i="6"/>
  <c r="C12" i="6"/>
  <c r="B12" i="6"/>
  <c r="A12" i="6"/>
  <c r="E11" i="6"/>
  <c r="D11" i="6"/>
  <c r="C11" i="6"/>
  <c r="B11" i="6"/>
  <c r="A11" i="6"/>
  <c r="E10" i="6"/>
  <c r="D10" i="6"/>
  <c r="C10" i="6"/>
  <c r="B10" i="6"/>
  <c r="A10" i="6"/>
  <c r="E9" i="6"/>
  <c r="D9" i="6"/>
  <c r="C9" i="6"/>
  <c r="B9" i="6"/>
  <c r="A9" i="6"/>
  <c r="E8" i="6"/>
  <c r="D8" i="6"/>
  <c r="C8" i="6"/>
  <c r="B8" i="6"/>
  <c r="A8" i="6"/>
  <c r="E7" i="6"/>
  <c r="D7" i="6"/>
  <c r="C7" i="6"/>
  <c r="B7" i="6"/>
  <c r="A7" i="6"/>
  <c r="E6" i="6"/>
  <c r="D6" i="6"/>
  <c r="C6" i="6"/>
  <c r="B6" i="6"/>
  <c r="A6" i="6"/>
  <c r="E5" i="6"/>
  <c r="D5" i="6"/>
  <c r="C5" i="6"/>
  <c r="B5" i="6"/>
  <c r="A5" i="6"/>
  <c r="E4" i="6"/>
  <c r="D4" i="6"/>
  <c r="C4" i="6"/>
  <c r="B4" i="6"/>
  <c r="A4" i="6"/>
  <c r="E3" i="6"/>
  <c r="D3" i="6"/>
  <c r="C3" i="6"/>
  <c r="A3" i="6"/>
  <c r="E137" i="4"/>
  <c r="D137" i="4"/>
  <c r="C137" i="4"/>
  <c r="B137" i="4"/>
  <c r="A137" i="4"/>
  <c r="E136" i="4"/>
  <c r="D136" i="4"/>
  <c r="C136" i="4"/>
  <c r="B136" i="4"/>
  <c r="A136" i="4"/>
  <c r="E135" i="4"/>
  <c r="D135" i="4"/>
  <c r="C135" i="4"/>
  <c r="B135" i="4"/>
  <c r="A135" i="4"/>
  <c r="E134" i="4"/>
  <c r="D134" i="4"/>
  <c r="C134" i="4"/>
  <c r="B134" i="4"/>
  <c r="A134" i="4"/>
  <c r="E133" i="4"/>
  <c r="D133" i="4"/>
  <c r="C133" i="4"/>
  <c r="B133" i="4"/>
  <c r="A133" i="4"/>
  <c r="E132" i="4"/>
  <c r="D132" i="4"/>
  <c r="C132" i="4"/>
  <c r="B132" i="4"/>
  <c r="A132" i="4"/>
  <c r="E131" i="4"/>
  <c r="D131" i="4"/>
  <c r="C131" i="4"/>
  <c r="B131" i="4"/>
  <c r="A131" i="4"/>
  <c r="E130" i="4"/>
  <c r="D130" i="4"/>
  <c r="C130" i="4"/>
  <c r="B130" i="4"/>
  <c r="A130" i="4"/>
  <c r="E129" i="4"/>
  <c r="D129" i="4"/>
  <c r="C129" i="4"/>
  <c r="B129" i="4"/>
  <c r="A129" i="4"/>
  <c r="E128" i="4"/>
  <c r="D128" i="4"/>
  <c r="C128" i="4"/>
  <c r="B128" i="4"/>
  <c r="A128" i="4"/>
  <c r="E127" i="4"/>
  <c r="D127" i="4"/>
  <c r="C127" i="4"/>
  <c r="B127" i="4"/>
  <c r="A127" i="4"/>
  <c r="E126" i="4"/>
  <c r="D126" i="4"/>
  <c r="C126" i="4"/>
  <c r="B126" i="4"/>
  <c r="A126" i="4"/>
  <c r="E125" i="4"/>
  <c r="D125" i="4"/>
  <c r="C125" i="4"/>
  <c r="B125" i="4"/>
  <c r="A125" i="4"/>
  <c r="E124" i="4"/>
  <c r="D124" i="4"/>
  <c r="C124" i="4"/>
  <c r="B124" i="4"/>
  <c r="A124" i="4"/>
  <c r="E123" i="4"/>
  <c r="D123" i="4"/>
  <c r="C123" i="4"/>
  <c r="B123" i="4"/>
  <c r="A123" i="4"/>
  <c r="E122" i="4"/>
  <c r="D122" i="4"/>
  <c r="C122" i="4"/>
  <c r="B122" i="4"/>
  <c r="A122" i="4"/>
  <c r="E121" i="4"/>
  <c r="D121" i="4"/>
  <c r="C121" i="4"/>
  <c r="B121" i="4"/>
  <c r="A121" i="4"/>
  <c r="E120" i="4"/>
  <c r="D120" i="4"/>
  <c r="C120" i="4"/>
  <c r="B120" i="4"/>
  <c r="A120" i="4"/>
  <c r="E119" i="4"/>
  <c r="D119" i="4"/>
  <c r="C119" i="4"/>
  <c r="B119" i="4"/>
  <c r="A119" i="4"/>
  <c r="E118" i="4"/>
  <c r="D118" i="4"/>
  <c r="C118" i="4"/>
  <c r="B118" i="4"/>
  <c r="A118" i="4"/>
  <c r="E117" i="4"/>
  <c r="D117" i="4"/>
  <c r="C117" i="4"/>
  <c r="B117" i="4"/>
  <c r="A117" i="4"/>
  <c r="E116" i="4"/>
  <c r="D116" i="4"/>
  <c r="C116" i="4"/>
  <c r="A116" i="4"/>
  <c r="E115" i="4"/>
  <c r="D115" i="4"/>
  <c r="C115" i="4"/>
  <c r="B115" i="4"/>
  <c r="A115" i="4"/>
  <c r="E114" i="4"/>
  <c r="D114" i="4"/>
  <c r="C114" i="4"/>
  <c r="B114" i="4"/>
  <c r="A114" i="4"/>
  <c r="E113" i="4"/>
  <c r="D113" i="4"/>
  <c r="C113" i="4"/>
  <c r="B113" i="4"/>
  <c r="A113" i="4"/>
  <c r="E112" i="4"/>
  <c r="D112" i="4"/>
  <c r="C112" i="4"/>
  <c r="B112" i="4"/>
  <c r="A112" i="4"/>
  <c r="E111" i="4"/>
  <c r="D111" i="4"/>
  <c r="C111" i="4"/>
  <c r="B111" i="4"/>
  <c r="A111" i="4"/>
  <c r="E110" i="4"/>
  <c r="D110" i="4"/>
  <c r="C110" i="4"/>
  <c r="B110" i="4"/>
  <c r="A110" i="4"/>
  <c r="E109" i="4"/>
  <c r="D109" i="4"/>
  <c r="C109" i="4"/>
  <c r="B109" i="4"/>
  <c r="A109" i="4"/>
  <c r="E108" i="4"/>
  <c r="D108" i="4"/>
  <c r="C108" i="4"/>
  <c r="B108" i="4"/>
  <c r="A108" i="4"/>
  <c r="E107" i="4"/>
  <c r="D107" i="4"/>
  <c r="C107" i="4"/>
  <c r="B107" i="4"/>
  <c r="A107" i="4"/>
  <c r="E106" i="4"/>
  <c r="D106" i="4"/>
  <c r="C106" i="4"/>
  <c r="B106" i="4"/>
  <c r="A106" i="4"/>
  <c r="E105" i="4"/>
  <c r="D105" i="4"/>
  <c r="C105" i="4"/>
  <c r="B105" i="4"/>
  <c r="A105" i="4"/>
  <c r="E104" i="4"/>
  <c r="D104" i="4"/>
  <c r="C104" i="4"/>
  <c r="B104" i="4"/>
  <c r="A104" i="4"/>
  <c r="E103" i="4"/>
  <c r="D103" i="4"/>
  <c r="C103" i="4"/>
  <c r="B103" i="4"/>
  <c r="A103" i="4"/>
  <c r="E102" i="4"/>
  <c r="D102" i="4"/>
  <c r="C102" i="4"/>
  <c r="B102" i="4"/>
  <c r="A102" i="4"/>
  <c r="E101" i="4"/>
  <c r="D101" i="4"/>
  <c r="C101" i="4"/>
  <c r="B101" i="4"/>
  <c r="A101" i="4"/>
  <c r="E100" i="4"/>
  <c r="D100" i="4"/>
  <c r="C100" i="4"/>
  <c r="B100" i="4"/>
  <c r="A100" i="4"/>
  <c r="E99" i="4"/>
  <c r="D99" i="4"/>
  <c r="C99" i="4"/>
  <c r="B99" i="4"/>
  <c r="A99" i="4"/>
  <c r="E98" i="4"/>
  <c r="D98" i="4"/>
  <c r="C98" i="4"/>
  <c r="B98" i="4"/>
  <c r="A98" i="4"/>
  <c r="E97" i="4"/>
  <c r="D97" i="4"/>
  <c r="C97" i="4"/>
  <c r="B97" i="4"/>
  <c r="A97" i="4"/>
  <c r="E96" i="4"/>
  <c r="D96" i="4"/>
  <c r="C96" i="4"/>
  <c r="B96" i="4"/>
  <c r="A96" i="4"/>
  <c r="E95" i="4"/>
  <c r="D95" i="4"/>
  <c r="C95" i="4"/>
  <c r="B95" i="4"/>
  <c r="A95" i="4"/>
  <c r="E94" i="4"/>
  <c r="D94" i="4"/>
  <c r="C94" i="4"/>
  <c r="B94" i="4"/>
  <c r="A94" i="4"/>
  <c r="E93" i="4"/>
  <c r="D93" i="4"/>
  <c r="C93" i="4"/>
  <c r="B93" i="4"/>
  <c r="A93" i="4"/>
  <c r="E92" i="4"/>
  <c r="D92" i="4"/>
  <c r="C92" i="4"/>
  <c r="B92" i="4"/>
  <c r="A92" i="4"/>
  <c r="E91" i="4"/>
  <c r="D91" i="4"/>
  <c r="C91" i="4"/>
  <c r="B91" i="4"/>
  <c r="A91" i="4"/>
  <c r="E90" i="4"/>
  <c r="D90" i="4"/>
  <c r="C90" i="4"/>
  <c r="B90" i="4"/>
  <c r="A90" i="4"/>
  <c r="E89" i="4"/>
  <c r="D89" i="4"/>
  <c r="C89" i="4"/>
  <c r="B89" i="4"/>
  <c r="A89" i="4"/>
  <c r="E88" i="4"/>
  <c r="D88" i="4"/>
  <c r="C88" i="4"/>
  <c r="B88" i="4"/>
  <c r="A88" i="4"/>
  <c r="E87" i="4"/>
  <c r="D87" i="4"/>
  <c r="C87" i="4"/>
  <c r="B87" i="4"/>
  <c r="A87" i="4"/>
  <c r="E86" i="4"/>
  <c r="D86" i="4"/>
  <c r="C86" i="4"/>
  <c r="B86" i="4"/>
  <c r="A86" i="4"/>
  <c r="E85" i="4"/>
  <c r="D85" i="4"/>
  <c r="C85" i="4"/>
  <c r="B85" i="4"/>
  <c r="A85" i="4"/>
  <c r="E84" i="4"/>
  <c r="D84" i="4"/>
  <c r="C84" i="4"/>
  <c r="B84" i="4"/>
  <c r="A84" i="4"/>
  <c r="E83" i="4"/>
  <c r="D83" i="4"/>
  <c r="C83" i="4"/>
  <c r="B83" i="4"/>
  <c r="A83" i="4"/>
  <c r="E82" i="4"/>
  <c r="D82" i="4"/>
  <c r="C82" i="4"/>
  <c r="B82" i="4"/>
  <c r="A82" i="4"/>
  <c r="E81" i="4"/>
  <c r="D81" i="4"/>
  <c r="C81" i="4"/>
  <c r="B81" i="4"/>
  <c r="A81" i="4"/>
  <c r="E80" i="4"/>
  <c r="D80" i="4"/>
  <c r="C80" i="4"/>
  <c r="B80" i="4"/>
  <c r="A80" i="4"/>
  <c r="E79" i="4"/>
  <c r="D79" i="4"/>
  <c r="C79" i="4"/>
  <c r="B79" i="4"/>
  <c r="A79" i="4"/>
  <c r="E78" i="4"/>
  <c r="D78" i="4"/>
  <c r="C78" i="4"/>
  <c r="B78" i="4"/>
  <c r="A78" i="4"/>
  <c r="E77" i="4"/>
  <c r="D77" i="4"/>
  <c r="C77" i="4"/>
  <c r="B77" i="4"/>
  <c r="A77" i="4"/>
  <c r="E76" i="4"/>
  <c r="D76" i="4"/>
  <c r="C76" i="4"/>
  <c r="B76" i="4"/>
  <c r="A76" i="4"/>
  <c r="E75" i="4"/>
  <c r="D75" i="4"/>
  <c r="C75" i="4"/>
  <c r="B75" i="4"/>
  <c r="A75" i="4"/>
  <c r="E74" i="4"/>
  <c r="D74" i="4"/>
  <c r="C74" i="4"/>
  <c r="B74" i="4"/>
  <c r="A74" i="4"/>
  <c r="E73" i="4"/>
  <c r="D73" i="4"/>
  <c r="C73" i="4"/>
  <c r="B73" i="4"/>
  <c r="A73" i="4"/>
  <c r="E72" i="4"/>
  <c r="D72" i="4"/>
  <c r="C72" i="4"/>
  <c r="B72" i="4"/>
  <c r="A72" i="4"/>
  <c r="E71" i="4"/>
  <c r="D71" i="4"/>
  <c r="C71" i="4"/>
  <c r="B71" i="4"/>
  <c r="A71" i="4"/>
  <c r="E70" i="4"/>
  <c r="D70" i="4"/>
  <c r="C70" i="4"/>
  <c r="B70" i="4"/>
  <c r="A70" i="4"/>
  <c r="E69" i="4"/>
  <c r="D69" i="4"/>
  <c r="C69" i="4"/>
  <c r="B69" i="4"/>
  <c r="A69" i="4"/>
  <c r="E68" i="4"/>
  <c r="D68" i="4"/>
  <c r="C68" i="4"/>
  <c r="B68" i="4"/>
  <c r="A68" i="4"/>
  <c r="E67" i="4"/>
  <c r="D67" i="4"/>
  <c r="C67" i="4"/>
  <c r="B67" i="4"/>
  <c r="A67" i="4"/>
  <c r="E66" i="4"/>
  <c r="D66" i="4"/>
  <c r="C66" i="4"/>
  <c r="B66" i="4"/>
  <c r="A66" i="4"/>
  <c r="E65" i="4"/>
  <c r="D65" i="4"/>
  <c r="C65" i="4"/>
  <c r="B65" i="4"/>
  <c r="A65" i="4"/>
  <c r="E64" i="4"/>
  <c r="D64" i="4"/>
  <c r="C64" i="4"/>
  <c r="B64" i="4"/>
  <c r="A64" i="4"/>
  <c r="E63" i="4"/>
  <c r="D63" i="4"/>
  <c r="C63" i="4"/>
  <c r="B63" i="4"/>
  <c r="A63" i="4"/>
  <c r="E62" i="4"/>
  <c r="D62" i="4"/>
  <c r="C62" i="4"/>
  <c r="B62" i="4"/>
  <c r="A62" i="4"/>
  <c r="E61" i="4"/>
  <c r="D61" i="4"/>
  <c r="C61" i="4"/>
  <c r="B61" i="4"/>
  <c r="A61" i="4"/>
  <c r="E60" i="4"/>
  <c r="D60" i="4"/>
  <c r="C60" i="4"/>
  <c r="B60" i="4"/>
  <c r="A60" i="4"/>
  <c r="E59" i="4"/>
  <c r="D59" i="4"/>
  <c r="C59" i="4"/>
  <c r="B59" i="4"/>
  <c r="A59" i="4"/>
  <c r="E58" i="4"/>
  <c r="D58" i="4"/>
  <c r="C58" i="4"/>
  <c r="B58" i="4"/>
  <c r="A58" i="4"/>
  <c r="E57" i="4"/>
  <c r="D57" i="4"/>
  <c r="C57" i="4"/>
  <c r="B57" i="4"/>
  <c r="A57" i="4"/>
  <c r="E56" i="4"/>
  <c r="D56" i="4"/>
  <c r="C56" i="4"/>
  <c r="B56" i="4"/>
  <c r="A56" i="4"/>
  <c r="E55" i="4"/>
  <c r="D55" i="4"/>
  <c r="C55" i="4"/>
  <c r="B55" i="4"/>
  <c r="A55" i="4"/>
  <c r="E54" i="4"/>
  <c r="D54" i="4"/>
  <c r="C54" i="4"/>
  <c r="B54" i="4"/>
  <c r="A54" i="4"/>
  <c r="E53" i="4"/>
  <c r="D53" i="4"/>
  <c r="C53" i="4"/>
  <c r="B53" i="4"/>
  <c r="A53" i="4"/>
  <c r="E52" i="4"/>
  <c r="D52" i="4"/>
  <c r="C52" i="4"/>
  <c r="B52" i="4"/>
  <c r="A52" i="4"/>
  <c r="E51" i="4"/>
  <c r="D51" i="4"/>
  <c r="C51" i="4"/>
  <c r="B51" i="4"/>
  <c r="A51" i="4"/>
  <c r="E50" i="4"/>
  <c r="D50" i="4"/>
  <c r="C50" i="4"/>
  <c r="B50" i="4"/>
  <c r="A50" i="4"/>
  <c r="E49" i="4"/>
  <c r="D49" i="4"/>
  <c r="C49" i="4"/>
  <c r="B49" i="4"/>
  <c r="A49" i="4"/>
  <c r="E48" i="4"/>
  <c r="D48" i="4"/>
  <c r="C48" i="4"/>
  <c r="B48" i="4"/>
  <c r="A48" i="4"/>
  <c r="E47" i="4"/>
  <c r="D47" i="4"/>
  <c r="C47" i="4"/>
  <c r="B47" i="4"/>
  <c r="A47" i="4"/>
  <c r="E46" i="4"/>
  <c r="D46" i="4"/>
  <c r="C46" i="4"/>
  <c r="B46" i="4"/>
  <c r="A46" i="4"/>
  <c r="E45" i="4"/>
  <c r="D45" i="4"/>
  <c r="C45" i="4"/>
  <c r="B45" i="4"/>
  <c r="A45" i="4"/>
  <c r="E44" i="4"/>
  <c r="D44" i="4"/>
  <c r="C44" i="4"/>
  <c r="B44" i="4"/>
  <c r="A44" i="4"/>
  <c r="E43" i="4"/>
  <c r="D43" i="4"/>
  <c r="C43" i="4"/>
  <c r="B43" i="4"/>
  <c r="A43" i="4"/>
  <c r="E42" i="4"/>
  <c r="D42" i="4"/>
  <c r="C42" i="4"/>
  <c r="B42" i="4"/>
  <c r="A42" i="4"/>
  <c r="E41" i="4"/>
  <c r="D41" i="4"/>
  <c r="C41" i="4"/>
  <c r="B41" i="4"/>
  <c r="A41" i="4"/>
  <c r="E40" i="4"/>
  <c r="D40" i="4"/>
  <c r="C40" i="4"/>
  <c r="B40" i="4"/>
  <c r="A40" i="4"/>
  <c r="E39" i="4"/>
  <c r="D39" i="4"/>
  <c r="C39" i="4"/>
  <c r="B39" i="4"/>
  <c r="A39" i="4"/>
  <c r="E38" i="4"/>
  <c r="D38" i="4"/>
  <c r="C38" i="4"/>
  <c r="B38" i="4"/>
  <c r="A38" i="4"/>
  <c r="E37" i="4"/>
  <c r="D37" i="4"/>
  <c r="C37" i="4"/>
  <c r="B37" i="4"/>
  <c r="A37" i="4"/>
  <c r="E36" i="4"/>
  <c r="D36" i="4"/>
  <c r="C36" i="4"/>
  <c r="B36" i="4"/>
  <c r="A36" i="4"/>
  <c r="E35" i="4"/>
  <c r="D35" i="4"/>
  <c r="C35" i="4"/>
  <c r="B35" i="4"/>
  <c r="A35" i="4"/>
  <c r="E34" i="4"/>
  <c r="D34" i="4"/>
  <c r="C34" i="4"/>
  <c r="B34" i="4"/>
  <c r="A34" i="4"/>
  <c r="E33" i="4"/>
  <c r="D33" i="4"/>
  <c r="C33" i="4"/>
  <c r="B33" i="4"/>
  <c r="A33" i="4"/>
  <c r="E32" i="4"/>
  <c r="D32" i="4"/>
  <c r="C32" i="4"/>
  <c r="B32" i="4"/>
  <c r="A32" i="4"/>
  <c r="E31" i="4"/>
  <c r="D31" i="4"/>
  <c r="C31" i="4"/>
  <c r="B31" i="4"/>
  <c r="A31" i="4"/>
  <c r="E30" i="4"/>
  <c r="D30" i="4"/>
  <c r="C30" i="4"/>
  <c r="B30" i="4"/>
  <c r="A30" i="4"/>
  <c r="E29" i="4"/>
  <c r="D29" i="4"/>
  <c r="C29" i="4"/>
  <c r="B29" i="4"/>
  <c r="A29" i="4"/>
  <c r="E28" i="4"/>
  <c r="D28" i="4"/>
  <c r="C28" i="4"/>
  <c r="B28" i="4"/>
  <c r="A28" i="4"/>
  <c r="E27" i="4"/>
  <c r="D27" i="4"/>
  <c r="C27" i="4"/>
  <c r="B27" i="4"/>
  <c r="A27" i="4"/>
  <c r="E26" i="4"/>
  <c r="D26" i="4"/>
  <c r="C26" i="4"/>
  <c r="B26" i="4"/>
  <c r="A26" i="4"/>
  <c r="E25" i="4"/>
  <c r="D25" i="4"/>
  <c r="C25" i="4"/>
  <c r="B25" i="4"/>
  <c r="A25" i="4"/>
  <c r="E24" i="4"/>
  <c r="D24" i="4"/>
  <c r="C24" i="4"/>
  <c r="B24" i="4"/>
  <c r="A24" i="4"/>
  <c r="E23" i="4"/>
  <c r="D23" i="4"/>
  <c r="C23" i="4"/>
  <c r="B23" i="4"/>
  <c r="A23" i="4"/>
  <c r="E22" i="4"/>
  <c r="D22" i="4"/>
  <c r="C22" i="4"/>
  <c r="B22" i="4"/>
  <c r="A22" i="4"/>
  <c r="E21" i="4"/>
  <c r="D21" i="4"/>
  <c r="C21" i="4"/>
  <c r="B21" i="4"/>
  <c r="A21" i="4"/>
  <c r="E20" i="4"/>
  <c r="D20" i="4"/>
  <c r="C20" i="4"/>
  <c r="B20" i="4"/>
  <c r="A20" i="4"/>
  <c r="E19" i="4"/>
  <c r="D19" i="4"/>
  <c r="C19" i="4"/>
  <c r="B19" i="4"/>
  <c r="A19" i="4"/>
  <c r="E18" i="4"/>
  <c r="D18" i="4"/>
  <c r="C18" i="4"/>
  <c r="B18" i="4"/>
  <c r="A18" i="4"/>
  <c r="E17" i="4"/>
  <c r="D17" i="4"/>
  <c r="C17" i="4"/>
  <c r="B17" i="4"/>
  <c r="A17" i="4"/>
  <c r="E16" i="4"/>
  <c r="D16" i="4"/>
  <c r="C16" i="4"/>
  <c r="B16" i="4"/>
  <c r="A16" i="4"/>
  <c r="E15" i="4"/>
  <c r="D15" i="4"/>
  <c r="C15" i="4"/>
  <c r="B15" i="4"/>
  <c r="A15" i="4"/>
  <c r="E14" i="4"/>
  <c r="D14" i="4"/>
  <c r="C14" i="4"/>
  <c r="B14" i="4"/>
  <c r="A14" i="4"/>
  <c r="E13" i="4"/>
  <c r="D13" i="4"/>
  <c r="C13" i="4"/>
  <c r="B13" i="4"/>
  <c r="A13" i="4"/>
  <c r="E12" i="4"/>
  <c r="D12" i="4"/>
  <c r="C12" i="4"/>
  <c r="B12" i="4"/>
  <c r="A12" i="4"/>
  <c r="E11" i="4"/>
  <c r="D11" i="4"/>
  <c r="C11" i="4"/>
  <c r="B11" i="4"/>
  <c r="A11" i="4"/>
  <c r="E10" i="4"/>
  <c r="D10" i="4"/>
  <c r="C10" i="4"/>
  <c r="A10" i="4"/>
  <c r="E9" i="4"/>
  <c r="D9" i="4"/>
  <c r="C9" i="4"/>
  <c r="B9" i="4"/>
  <c r="A9" i="4"/>
  <c r="E8" i="4"/>
  <c r="D8" i="4"/>
  <c r="C8" i="4"/>
  <c r="B8" i="4"/>
  <c r="A8" i="4"/>
  <c r="E7" i="4"/>
  <c r="D7" i="4"/>
  <c r="C7" i="4"/>
  <c r="B7" i="4"/>
  <c r="A7" i="4"/>
  <c r="E6" i="4"/>
  <c r="D6" i="4"/>
  <c r="C6" i="4"/>
  <c r="B6" i="4"/>
  <c r="A6" i="4"/>
  <c r="E5" i="4"/>
  <c r="D5" i="4"/>
  <c r="C5" i="4"/>
  <c r="B5" i="4"/>
  <c r="A5" i="4"/>
</calcChain>
</file>

<file path=xl/sharedStrings.xml><?xml version="1.0" encoding="utf-8"?>
<sst xmlns="http://schemas.openxmlformats.org/spreadsheetml/2006/main" count="1822" uniqueCount="769">
  <si>
    <t>STT</t>
  </si>
  <si>
    <t>Ghi chú</t>
  </si>
  <si>
    <t>Kính gửi: Ủy ban Chứng khoán Nhà nước</t>
  </si>
  <si>
    <t>Mã sheet</t>
  </si>
  <si>
    <t>Nội dung</t>
  </si>
  <si>
    <t/>
  </si>
  <si>
    <t>BÁO CÁO TÀI CHÍNH  RIÊNG LẺ</t>
  </si>
  <si>
    <t>Thông tư số 334/2016/TT-BTC ngày 27/12/2016 của Bộ Tài chính</t>
  </si>
  <si>
    <t>BÁO CÁO TÌNH HÌNH TÀI CHÍNH RIÊNG</t>
  </si>
  <si>
    <t>BCTCR_06608</t>
  </si>
  <si>
    <t xml:space="preserve">CÁC CHỈ TIÊU NGOÀI BÁO CÁO TÌNH HÌNH TÀI CHÍNH RIÊNG				</t>
  </si>
  <si>
    <t>CCTTCR_06609</t>
  </si>
  <si>
    <t>BÁO CÁO KẾT QUẢ HOẠT ĐỘNG RIÊNG</t>
  </si>
  <si>
    <t>BCKQHDR_06610</t>
  </si>
  <si>
    <t xml:space="preserve">BÁO CÁO LƯU CHUYỂN TIỀN TỆ RIÊNG			</t>
  </si>
  <si>
    <t>BCLCTTRTT_06611</t>
  </si>
  <si>
    <t xml:space="preserve">PHẦN LƯU CHUYỂN TIỀN TỆ HOẠT ĐỘNG MÔI GIỚI, ỦY THÁC CỦA KHÁCH HÀNG				</t>
  </si>
  <si>
    <t>PLCTTHDMGUTCKHTT_06612</t>
  </si>
  <si>
    <t xml:space="preserve">BÁO CÁO LƯU CHUYỂN TIỀN TỆ RIÊNG		</t>
  </si>
  <si>
    <t>BCLCTTRGT_06613</t>
  </si>
  <si>
    <t xml:space="preserve">PHẦN LƯU CHUYỂN TIỀN TỆ HOẠT ĐỘNG MÔI GIỚI, ỦY THÁC CỦA KHÁCH HÀNG		</t>
  </si>
  <si>
    <t>PLCTTHDMGUTCKHGT_06614</t>
  </si>
  <si>
    <t xml:space="preserve">BÁO CÁO TÌNH HÌNH BIẾN ĐỘNG VỐN CHỦ SỞ HỮU									</t>
  </si>
  <si>
    <t>BCTHBDVCSH_06615</t>
  </si>
  <si>
    <t>Không đổi tên sheet
Những chỉ tiêu không có số liệu có thể không phải trình bày nhưng không được đánh lại “Mã chỉ tiêu”.
Không được xóa cột trên sheet</t>
  </si>
  <si>
    <t>Người lập biểu</t>
  </si>
  <si>
    <t>Kế toán trưởng</t>
  </si>
  <si>
    <t>Giám đốc</t>
  </si>
  <si>
    <t>(Ký, họ tên)</t>
  </si>
  <si>
    <t>(Ký, họ tên, đóng dấu)</t>
  </si>
  <si>
    <t>Chỉ tiêu</t>
  </si>
  <si>
    <t>Mã số</t>
  </si>
  <si>
    <t>Thuyết minh</t>
  </si>
  <si>
    <t>Số cuối năm</t>
  </si>
  <si>
    <t>Số đầu năm</t>
  </si>
  <si>
    <t>Tại ngày ... tháng ... năm ...(1)</t>
  </si>
  <si>
    <t xml:space="preserve"> Đơn vị tính: Đồng Việt Nam</t>
  </si>
  <si>
    <t xml:space="preserve">226a
</t>
  </si>
  <si>
    <t xml:space="preserve">228
</t>
  </si>
  <si>
    <t xml:space="preserve">
</t>
  </si>
  <si>
    <t>A</t>
  </si>
  <si>
    <t xml:space="preserve">7.2. Phải thu và dự thu cổ tức, tiền lãi các tài sản tài chính
</t>
  </si>
  <si>
    <t>8. Trả trước cho người bán</t>
  </si>
  <si>
    <t>13. Dự phòng suy giảm giá trị các khoản phải thu (*)</t>
  </si>
  <si>
    <t>II. Tài sản ngắn hạn khác</t>
  </si>
  <si>
    <t>2. Vay tài sản tài chính ngắn hạn</t>
  </si>
  <si>
    <t xml:space="preserve">229b
</t>
  </si>
  <si>
    <t xml:space="preserve">230
</t>
  </si>
  <si>
    <t xml:space="preserve">232a
</t>
  </si>
  <si>
    <t xml:space="preserve">251
</t>
  </si>
  <si>
    <t xml:space="preserve">253
</t>
  </si>
  <si>
    <t xml:space="preserve">254
</t>
  </si>
  <si>
    <t xml:space="preserve">260
</t>
  </si>
  <si>
    <t xml:space="preserve">310
</t>
  </si>
  <si>
    <t xml:space="preserve">312
</t>
  </si>
  <si>
    <t xml:space="preserve">318
</t>
  </si>
  <si>
    <t xml:space="preserve">319
</t>
  </si>
  <si>
    <t xml:space="preserve">320
</t>
  </si>
  <si>
    <t xml:space="preserve">322
</t>
  </si>
  <si>
    <t xml:space="preserve">323
</t>
  </si>
  <si>
    <t>3. Trái phiếu chuyển đổi ngắn hạn - Cấu phần nợ</t>
  </si>
  <si>
    <t>4. Trái phiếu phát hành ngắn hạn</t>
  </si>
  <si>
    <t xml:space="preserve">5. Vay Quỹ Hỗ trợ thanh toán </t>
  </si>
  <si>
    <t>6. Phải trả hoạt động giao dịch chứng khoán</t>
  </si>
  <si>
    <t xml:space="preserve">324
</t>
  </si>
  <si>
    <t xml:space="preserve">325
</t>
  </si>
  <si>
    <t xml:space="preserve">327
</t>
  </si>
  <si>
    <t xml:space="preserve">329
</t>
  </si>
  <si>
    <t xml:space="preserve">342
</t>
  </si>
  <si>
    <t xml:space="preserve">13. Quỹ bảo vệ Nhà đầu tư </t>
  </si>
  <si>
    <t xml:space="preserve">343
</t>
  </si>
  <si>
    <t xml:space="preserve">346
</t>
  </si>
  <si>
    <t xml:space="preserve">348
</t>
  </si>
  <si>
    <t xml:space="preserve">351
</t>
  </si>
  <si>
    <t xml:space="preserve">354
</t>
  </si>
  <si>
    <t xml:space="preserve">356
</t>
  </si>
  <si>
    <t xml:space="preserve">410
</t>
  </si>
  <si>
    <t xml:space="preserve">411
</t>
  </si>
  <si>
    <t xml:space="preserve">411.1a
</t>
  </si>
  <si>
    <t xml:space="preserve">411.3
</t>
  </si>
  <si>
    <t>C</t>
  </si>
  <si>
    <t>2</t>
  </si>
  <si>
    <t xml:space="preserve">130
</t>
  </si>
  <si>
    <t xml:space="preserve">221
</t>
  </si>
  <si>
    <t>111.1</t>
  </si>
  <si>
    <t>116</t>
  </si>
  <si>
    <t xml:space="preserve">117.1
</t>
  </si>
  <si>
    <t xml:space="preserve">a. Cổ phiếu phổ thông có quyền biểu quyết </t>
  </si>
  <si>
    <t>117.2</t>
  </si>
  <si>
    <t>131</t>
  </si>
  <si>
    <t xml:space="preserve">138
</t>
  </si>
  <si>
    <t xml:space="preserve">200
</t>
  </si>
  <si>
    <t>210</t>
  </si>
  <si>
    <t xml:space="preserve">411.4
</t>
  </si>
  <si>
    <t>2.4. Đầu tư dài hạn khác</t>
  </si>
  <si>
    <t xml:space="preserve">1.4. Vốn khác của chủ sở hữu </t>
  </si>
  <si>
    <t>5. Quỹ dự phòng tài chính và rủi ro nghiệp vụ</t>
  </si>
  <si>
    <t>4. Cầm cố, thế chấp, ký quỹ, ký cược ngắn hạn</t>
  </si>
  <si>
    <t>111.2</t>
  </si>
  <si>
    <t>115</t>
  </si>
  <si>
    <t>117.3</t>
  </si>
  <si>
    <t xml:space="preserve">119
</t>
  </si>
  <si>
    <t>133</t>
  </si>
  <si>
    <t xml:space="preserve">139
</t>
  </si>
  <si>
    <t xml:space="preserve">211
</t>
  </si>
  <si>
    <t xml:space="preserve">225
</t>
  </si>
  <si>
    <t xml:space="preserve">240
</t>
  </si>
  <si>
    <t xml:space="preserve">328
</t>
  </si>
  <si>
    <t xml:space="preserve">330
</t>
  </si>
  <si>
    <t>110</t>
  </si>
  <si>
    <t xml:space="preserve">212
</t>
  </si>
  <si>
    <t>15. Doanh thu chưa thực hiện ngắn hạn</t>
  </si>
  <si>
    <t>16. Nhận ký quỹ, ký cược ngắn hạn</t>
  </si>
  <si>
    <t>19. Quỹ khen thưởng, phúc lợi</t>
  </si>
  <si>
    <t xml:space="preserve"> 3.Trái phiếu chuyển đổi dài hạn - Cấu phần nợ</t>
  </si>
  <si>
    <t>B</t>
  </si>
  <si>
    <t>TỔNG CỘNG TÀI SẢN</t>
  </si>
  <si>
    <t>D. VỐN CHỦ SỞ HỮU</t>
  </si>
  <si>
    <t>1. Cầm cố, thế chấp, ký quỹ, ký cược dài hạn</t>
  </si>
  <si>
    <t>114</t>
  </si>
  <si>
    <t>117</t>
  </si>
  <si>
    <t>122</t>
  </si>
  <si>
    <t xml:space="preserve">129
</t>
  </si>
  <si>
    <t>134</t>
  </si>
  <si>
    <t xml:space="preserve">213
</t>
  </si>
  <si>
    <t xml:space="preserve">315
</t>
  </si>
  <si>
    <t xml:space="preserve">317
</t>
  </si>
  <si>
    <t xml:space="preserve">341
</t>
  </si>
  <si>
    <t xml:space="preserve">357
</t>
  </si>
  <si>
    <t>A. TÀI SẢN NGẮN HẠN (100 = 110 + 130)</t>
  </si>
  <si>
    <t>1.Tiền và các khoản tương đương tiền</t>
  </si>
  <si>
    <t>3. Các  khoản đầu tư  nắm giữ đến ngày đáo hạn (HTM)</t>
  </si>
  <si>
    <t>4. Các khoản cho vay</t>
  </si>
  <si>
    <t xml:space="preserve">6. Dự phòng suy giảm giá trị các tài sản tài chính và tài sản thế chấp
</t>
  </si>
  <si>
    <t>7.2.1. Phải thu cổ tức, tiền lãi đến ngày nhận</t>
  </si>
  <si>
    <t>12. Các khoản phải thu khác</t>
  </si>
  <si>
    <t>6. Thuế và các khoản khác phải thu Nhà nước</t>
  </si>
  <si>
    <t>8. Giao dịch mua bán lại trái phiếu Chính phủ</t>
  </si>
  <si>
    <t xml:space="preserve">I. Tài sản tài chính dài hạn </t>
  </si>
  <si>
    <t>2. Các khoản đầu tư</t>
  </si>
  <si>
    <t>1. Tài sản cố định hữu hình</t>
  </si>
  <si>
    <t xml:space="preserve">413
</t>
  </si>
  <si>
    <t xml:space="preserve">415
</t>
  </si>
  <si>
    <t>1.2. Các khoản tương đương tiền</t>
  </si>
  <si>
    <t xml:space="preserve">7.2.2. Dự thu cổ tức, tiền lãi chưa đến ngày nhận </t>
  </si>
  <si>
    <t>10. Phải thu nội bộ</t>
  </si>
  <si>
    <t>1. Tạm ứng</t>
  </si>
  <si>
    <t>2. Vật tư văn phòng, công cụ, dụng cụ</t>
  </si>
  <si>
    <t>5. Thuế giá trị gia tăng được khấu trừ</t>
  </si>
  <si>
    <t>7. Tài sản ngắn hạn khác</t>
  </si>
  <si>
    <t xml:space="preserve">2.2. Đầu tư vào công ty con </t>
  </si>
  <si>
    <t xml:space="preserve">   - Giá trị hao mòn luỹ kế (*)</t>
  </si>
  <si>
    <t xml:space="preserve">   - Đánh giá TSCĐHH theo giá trị hợp lý</t>
  </si>
  <si>
    <t xml:space="preserve">  - Giá trị hao mòn luỹ kế (*)</t>
  </si>
  <si>
    <t xml:space="preserve">(440 = 300 + 400)
</t>
  </si>
  <si>
    <t>2. Chi phí trả trước dài hạn</t>
  </si>
  <si>
    <t>4. Tiền nộp Quỹ Hỗ trợ thanh toán</t>
  </si>
  <si>
    <t xml:space="preserve"> (270 = 100 + 200)</t>
  </si>
  <si>
    <t>C. NỢ PHẢI TRẢ (300 = 310 + 340)</t>
  </si>
  <si>
    <t>7. Chi phí phải trả dài hạn</t>
  </si>
  <si>
    <t>I. Tài sản tài chính</t>
  </si>
  <si>
    <t>1.1. Tiền</t>
  </si>
  <si>
    <t>2. Các tài sản tài chính ghi nhận thông qua lãi/lỗ (FVTPL)</t>
  </si>
  <si>
    <t>5. Tài sản tài chính sẵn sàng để bán (AFS)</t>
  </si>
  <si>
    <t>7. Các khoản phải thu</t>
  </si>
  <si>
    <t xml:space="preserve">7.1. Phải thu bán các tài sản tài chính </t>
  </si>
  <si>
    <t>9. Phải thu các dịch vụ CTCK cung cấp</t>
  </si>
  <si>
    <t>11. Phải thu về lỗi giao dịch chứng khoán</t>
  </si>
  <si>
    <t>B. TÀI SẢN DÀI HẠN (200 = 210 + 220 + 230 + 240 + 250 - 260)</t>
  </si>
  <si>
    <t xml:space="preserve">2.3. Đầu tư vào công ty liên doanh, liên kết </t>
  </si>
  <si>
    <t>2. Tài sản cố định thuê tài chính</t>
  </si>
  <si>
    <t xml:space="preserve">   - Nguyên giá</t>
  </si>
  <si>
    <t xml:space="preserve">   - Đánh giá TSCĐTTC theo giá trị hợp lý</t>
  </si>
  <si>
    <t>3. Tài sản cố định vô hình</t>
  </si>
  <si>
    <t xml:space="preserve">  - Nguyên giá</t>
  </si>
  <si>
    <t>IV.Chi phí xây dựng cơ bản dở dang</t>
  </si>
  <si>
    <t xml:space="preserve">  - Đánh giá TSCĐVH theo giá trị hợp lý</t>
  </si>
  <si>
    <t>5. Tài sản dài hạn khác</t>
  </si>
  <si>
    <t xml:space="preserve">414
</t>
  </si>
  <si>
    <t xml:space="preserve">416
</t>
  </si>
  <si>
    <t xml:space="preserve">417.1
</t>
  </si>
  <si>
    <t>1.2. Nợ thuê tài chính ngắn hạn</t>
  </si>
  <si>
    <t xml:space="preserve">417
</t>
  </si>
  <si>
    <t xml:space="preserve">417.2
</t>
  </si>
  <si>
    <t>3. Tài sản thuế thu nhập hoãn lại</t>
  </si>
  <si>
    <t>I. Nợ phải trả ngắn hạn</t>
  </si>
  <si>
    <t xml:space="preserve">1.1. Vay ngắn hạn </t>
  </si>
  <si>
    <t>17.Các khoản phải trả, phải nộp khác ngắn hạn</t>
  </si>
  <si>
    <t xml:space="preserve">112
</t>
  </si>
  <si>
    <t>1.1.Vay dài hạn</t>
  </si>
  <si>
    <t xml:space="preserve"> 6. Người mua trả tiền trước dài hạn</t>
  </si>
  <si>
    <t>11. Các khoản phải trả, phải nộp khác dài hạn</t>
  </si>
  <si>
    <t>7. Phải trả về lỗi giao dịch các tài sản tài chính</t>
  </si>
  <si>
    <t>8.  Phải trả người bán ngắn hạn</t>
  </si>
  <si>
    <t xml:space="preserve">212.3
</t>
  </si>
  <si>
    <t>440</t>
  </si>
  <si>
    <t>3. Dự phòng suy giảm tài sản tài chính dài hạn</t>
  </si>
  <si>
    <t>II. Tài sản cố định</t>
  </si>
  <si>
    <t>III. Bất động sản đầu tư</t>
  </si>
  <si>
    <t xml:space="preserve">  - Đánh giá BĐSĐT theo giá trị hợp lý</t>
  </si>
  <si>
    <t>V. Tài sản dài hạn khác</t>
  </si>
  <si>
    <t>VI. Dự phòng suy giảm giá trị tài sản dài hạn</t>
  </si>
  <si>
    <t>1. Vay và nợ thuê tài chính ngắn hạn</t>
  </si>
  <si>
    <t xml:space="preserve">118
</t>
  </si>
  <si>
    <t xml:space="preserve">120
</t>
  </si>
  <si>
    <t xml:space="preserve">121
</t>
  </si>
  <si>
    <t>136</t>
  </si>
  <si>
    <t>3. Chi phí trả trước ngắn hạn</t>
  </si>
  <si>
    <t>9. Dự phòng suy giảm giá trị tài sản ngắn hạn khác</t>
  </si>
  <si>
    <t>2.1.Các khoản đầu tư nắm giữ đến ngày đáo hạn</t>
  </si>
  <si>
    <t>1. Các khoản phải thu dài hạn</t>
  </si>
  <si>
    <t>TÀI SẢN</t>
  </si>
  <si>
    <t>10. Thuế và các khoản phải nộp Nhà nước</t>
  </si>
  <si>
    <t>11. Phải trả người lao động</t>
  </si>
  <si>
    <t>9. Người mua trả tiền trước ngắn hạn</t>
  </si>
  <si>
    <t>12.Các khoản trích nộp phúc lợi nhân viên</t>
  </si>
  <si>
    <t>13. Chi phí phải trả ngắn hạn</t>
  </si>
  <si>
    <t>14. Phải trả nội bộ ngắn hạn</t>
  </si>
  <si>
    <t>18. Dự phòng phải trả ngắn hạn</t>
  </si>
  <si>
    <t>20. Giao dịch mua bán lại trái phiếu Chính phủ</t>
  </si>
  <si>
    <t>1.2. Nợ thuê tài chính dài hạn</t>
  </si>
  <si>
    <t>2. Vay tài sản tài chính dài hạn</t>
  </si>
  <si>
    <t xml:space="preserve"> (400 = 410 + 420)</t>
  </si>
  <si>
    <t xml:space="preserve">TỔNG CỘNG NỢ  VÀ VỐN CHỦ SỞ HỮU </t>
  </si>
  <si>
    <t>1</t>
  </si>
  <si>
    <t>I. Vốn chủ sở hữu</t>
  </si>
  <si>
    <t>1.2. Thặng dư vốn cổ phần</t>
  </si>
  <si>
    <t>2. Chênh lệch đánh giá tài sản theo giá trị hợp lý</t>
  </si>
  <si>
    <t>6. Các Quỹ khác thuộc vốn chủ sở hữu</t>
  </si>
  <si>
    <t xml:space="preserve">II. Nguồn kinh phí và quỹ khác </t>
  </si>
  <si>
    <t xml:space="preserve">411.1
</t>
  </si>
  <si>
    <t xml:space="preserve">411.1b
</t>
  </si>
  <si>
    <t>II. Nợ phải trả dài hạn</t>
  </si>
  <si>
    <t>1. Vay và nợ thuê tài chính dài hạn</t>
  </si>
  <si>
    <t>4.Trái phiếu phát hành dài hạn</t>
  </si>
  <si>
    <t>5.  Phải trả người bán dài hạn</t>
  </si>
  <si>
    <t>9. Doanh thu chưa thực hiện dài hạn</t>
  </si>
  <si>
    <t>10. Nhận ký quỹ, ký cược dài hạn</t>
  </si>
  <si>
    <t>15. Quỹ phát triển khoa học và công nghệ</t>
  </si>
  <si>
    <t>1.1. Vốn góp của chủ sở hữu</t>
  </si>
  <si>
    <t>1.3. Quyền chọn chuyển đổi trái phiếu - Cấu phần vốn</t>
  </si>
  <si>
    <t>1.5. Cổ phiếu quỹ (*)</t>
  </si>
  <si>
    <t>4. Quỹ dự trữ bổ sung vốn  điều lệ</t>
  </si>
  <si>
    <t>7. Lợi nhuận chưa phân phối</t>
  </si>
  <si>
    <t>7.2. Lợi nhuận chưa thực hiện</t>
  </si>
  <si>
    <t>100</t>
  </si>
  <si>
    <t>111</t>
  </si>
  <si>
    <t>113</t>
  </si>
  <si>
    <t xml:space="preserve">117.4
</t>
  </si>
  <si>
    <t xml:space="preserve">132
</t>
  </si>
  <si>
    <t>135</t>
  </si>
  <si>
    <t>137</t>
  </si>
  <si>
    <t xml:space="preserve">212.4
</t>
  </si>
  <si>
    <t xml:space="preserve">226b
</t>
  </si>
  <si>
    <t xml:space="preserve">229a
</t>
  </si>
  <si>
    <t xml:space="preserve">231
</t>
  </si>
  <si>
    <t xml:space="preserve">232b
</t>
  </si>
  <si>
    <t xml:space="preserve">252
</t>
  </si>
  <si>
    <t xml:space="preserve">270
</t>
  </si>
  <si>
    <t xml:space="preserve">300
</t>
  </si>
  <si>
    <t xml:space="preserve">311
</t>
  </si>
  <si>
    <t xml:space="preserve">313
</t>
  </si>
  <si>
    <t xml:space="preserve">314
</t>
  </si>
  <si>
    <t xml:space="preserve">316
</t>
  </si>
  <si>
    <t xml:space="preserve">321
</t>
  </si>
  <si>
    <t xml:space="preserve">326
</t>
  </si>
  <si>
    <t xml:space="preserve">331
</t>
  </si>
  <si>
    <t xml:space="preserve">340
</t>
  </si>
  <si>
    <t xml:space="preserve">345
</t>
  </si>
  <si>
    <t xml:space="preserve">347
</t>
  </si>
  <si>
    <t xml:space="preserve">349
</t>
  </si>
  <si>
    <t xml:space="preserve">350
</t>
  </si>
  <si>
    <t xml:space="preserve">352
</t>
  </si>
  <si>
    <t xml:space="preserve">353
</t>
  </si>
  <si>
    <t xml:space="preserve">355
</t>
  </si>
  <si>
    <t xml:space="preserve">400
</t>
  </si>
  <si>
    <t xml:space="preserve">411.2
</t>
  </si>
  <si>
    <t xml:space="preserve">411.5
</t>
  </si>
  <si>
    <t xml:space="preserve">412
</t>
  </si>
  <si>
    <t xml:space="preserve">212.1
</t>
  </si>
  <si>
    <t xml:space="preserve">212.2
</t>
  </si>
  <si>
    <t xml:space="preserve">227
</t>
  </si>
  <si>
    <t xml:space="preserve">250
</t>
  </si>
  <si>
    <t xml:space="preserve">255
</t>
  </si>
  <si>
    <t xml:space="preserve">420
</t>
  </si>
  <si>
    <t>8. Phải trả nội bộ dài hạn</t>
  </si>
  <si>
    <t xml:space="preserve">14. Thuế thu nhập hoãn lại phải trả </t>
  </si>
  <si>
    <t>1. Vốn đầu tư của chủ sở hữu</t>
  </si>
  <si>
    <t>12. Dự phòng phải trả dài hạn</t>
  </si>
  <si>
    <t xml:space="preserve">b. Cổ phiếu ưu đãi </t>
  </si>
  <si>
    <t>3. Chênh lệch tỷ giá hối đoái</t>
  </si>
  <si>
    <t>7.1. Lợi nhuận sau thuế đã thực hiện</t>
  </si>
  <si>
    <t xml:space="preserve">332
</t>
  </si>
  <si>
    <t xml:space="preserve">344
</t>
  </si>
  <si>
    <t xml:space="preserve">220
</t>
  </si>
  <si>
    <t xml:space="preserve">222
</t>
  </si>
  <si>
    <t xml:space="preserve">223a
</t>
  </si>
  <si>
    <t xml:space="preserve">223b
</t>
  </si>
  <si>
    <t xml:space="preserve">224
</t>
  </si>
  <si>
    <t xml:space="preserve">21.5
</t>
  </si>
  <si>
    <t xml:space="preserve">21.6
</t>
  </si>
  <si>
    <t xml:space="preserve">22.2
</t>
  </si>
  <si>
    <t xml:space="preserve">23
</t>
  </si>
  <si>
    <t xml:space="preserve">024.b
</t>
  </si>
  <si>
    <t xml:space="preserve">26
</t>
  </si>
  <si>
    <t xml:space="preserve">31
</t>
  </si>
  <si>
    <t xml:space="preserve">34
</t>
  </si>
  <si>
    <t xml:space="preserve">A
</t>
  </si>
  <si>
    <t xml:space="preserve">13.Tài sản tài chính được hưởng quyền của CTCK 
</t>
  </si>
  <si>
    <t xml:space="preserve">a.Tài sản tài chính giao dịch tự do chuyển nhượng
</t>
  </si>
  <si>
    <t xml:space="preserve">c.Tài sản tài chính giao dịch cầm cố
</t>
  </si>
  <si>
    <t xml:space="preserve">A.TÀI SẢN CỦA CTCK VÀ TÀI SẢN QUẢN LÝ THEO CAM KẾT
</t>
  </si>
  <si>
    <t xml:space="preserve">6. Cổ phiếu đang lưu hành
</t>
  </si>
  <si>
    <t xml:space="preserve">11. Tài sản tài chính sửa lỗi giao dịch của CTCK 
</t>
  </si>
  <si>
    <t xml:space="preserve">B. TÀI SẢN VÀ CÁC KHOẢN PHẢI TRẢ VỀ TÀI SẢN QUẢN LÝ CAM KẾT VỚI KHÁCH HÀNG 
</t>
  </si>
  <si>
    <t xml:space="preserve">f. Tài sản tài chính chờ cho vay
</t>
  </si>
  <si>
    <t xml:space="preserve">2. Tài sản tài chính đã lưu ký tại VSD và chưa giao dịch của Nhà đầu tư
</t>
  </si>
  <si>
    <t xml:space="preserve">a.Tài sản tài chính đã lưu ký tại VSD và chưa giao dịch, tự do chuyển nhượng
</t>
  </si>
  <si>
    <t xml:space="preserve">2. Chứng chỉ có giá nhận giữ hộ
</t>
  </si>
  <si>
    <t xml:space="preserve">4. Nợ khó đòi đã xử lý
</t>
  </si>
  <si>
    <t xml:space="preserve">5. Ngoại tệ các loại
</t>
  </si>
  <si>
    <t xml:space="preserve">10. Tài sản tài chính chờ về của CTCK 
</t>
  </si>
  <si>
    <t xml:space="preserve">b.Tài sản tài chính hạn chế chuyển nhượng
</t>
  </si>
  <si>
    <t xml:space="preserve">4. Tài sản tài chính sửa lỗi giao dịch của Nhà đầu tư
</t>
  </si>
  <si>
    <t xml:space="preserve">5.Tài sản tài chính chưa lưu ký tại VSD của Nhà đầu tư
</t>
  </si>
  <si>
    <t xml:space="preserve">6.Tài sản tài chính được hưởng quyền của Nhà đầu tư
</t>
  </si>
  <si>
    <t xml:space="preserve">7. Tiền gửi của khách hàng
</t>
  </si>
  <si>
    <t xml:space="preserve">7.1. Tiền gửi của Nhà đầu tư về giao dịch chứng khoán theo phương thức CTCK quản lý
</t>
  </si>
  <si>
    <t xml:space="preserve">7.2.Tiền gửi tổng hợp giao dịch chứng khoán cho khách hàng
</t>
  </si>
  <si>
    <t xml:space="preserve">9. Phải trả Tổ chức phát hành chứng khoán
</t>
  </si>
  <si>
    <t xml:space="preserve">b. Tiền gửi bù trừ và thanh toán giao dịch chứng khoán Nhà đầu tư nước ngoài
</t>
  </si>
  <si>
    <t xml:space="preserve">7.4. Tiền gửi của Tổ chức phát hành chứng khoán
</t>
  </si>
  <si>
    <t xml:space="preserve">8.1. Phải trả Nhà đầu tư trong nước về tiền gửi giao dịch chứng khoán theo phương thức CTCK quản lý 
</t>
  </si>
  <si>
    <t xml:space="preserve">8.2. Phải trả Nhà đầu tư nước ngoài về tiền gửi giao dịch chứng khoán theo phương thức CTCK quản lý
</t>
  </si>
  <si>
    <t xml:space="preserve">10. Phải thu của khách hàng về lỗi giao dịch các tài sản tài chính
</t>
  </si>
  <si>
    <t xml:space="preserve">12. Phải trả cổ tức, gốc và lãi trái phiếu
</t>
  </si>
  <si>
    <t>3</t>
  </si>
  <si>
    <t>4</t>
  </si>
  <si>
    <t>10</t>
  </si>
  <si>
    <t>21</t>
  </si>
  <si>
    <t>6</t>
  </si>
  <si>
    <t>7</t>
  </si>
  <si>
    <t xml:space="preserve">7.3. Tiền gửi bù trừ và thanh toán giao dịch chứng khoán
</t>
  </si>
  <si>
    <t>11</t>
  </si>
  <si>
    <t xml:space="preserve">22.3
</t>
  </si>
  <si>
    <t xml:space="preserve">22.4
</t>
  </si>
  <si>
    <t xml:space="preserve">29.2
</t>
  </si>
  <si>
    <t xml:space="preserve">11. Phải trả của khách hàng về lỗi giao dịch các tài sản tài chính
</t>
  </si>
  <si>
    <t xml:space="preserve">30
</t>
  </si>
  <si>
    <t xml:space="preserve">31.1
</t>
  </si>
  <si>
    <t xml:space="preserve">3. Tài sản nhận thế chấp
</t>
  </si>
  <si>
    <t xml:space="preserve">25
</t>
  </si>
  <si>
    <t xml:space="preserve">27
</t>
  </si>
  <si>
    <t xml:space="preserve">28
</t>
  </si>
  <si>
    <t xml:space="preserve">31.2
</t>
  </si>
  <si>
    <t xml:space="preserve">32
</t>
  </si>
  <si>
    <t xml:space="preserve">1. Tài sản cố định thuê ngoài
</t>
  </si>
  <si>
    <t xml:space="preserve">8. Tài sản tài chính niêm yết/đăng ký giao dịch tại VSD của CTCK 
</t>
  </si>
  <si>
    <t xml:space="preserve">12. Tài sản tài chính chưa lưu ký tại VSD của CTCK 
</t>
  </si>
  <si>
    <t xml:space="preserve">1.Tài sản tài chính niêm yết/đăng ký giao dịch tại VSD của Nhà đầu tư
</t>
  </si>
  <si>
    <t xml:space="preserve">b.Tài sản tài chính đã lưu ký tại VSD và chưa giao dịch, hạn chế chuyển nhượng
</t>
  </si>
  <si>
    <t xml:space="preserve">8. Phải trả Nhà đầu tư về tiền gửi giao dịch chứng khoán theo phương thức CTCK quản lý
</t>
  </si>
  <si>
    <t>9</t>
  </si>
  <si>
    <t xml:space="preserve">21.1
</t>
  </si>
  <si>
    <t xml:space="preserve">22
</t>
  </si>
  <si>
    <t xml:space="preserve">22.1
</t>
  </si>
  <si>
    <t xml:space="preserve">024.a
</t>
  </si>
  <si>
    <t xml:space="preserve">29
</t>
  </si>
  <si>
    <t xml:space="preserve">c.Tài sản tài chính đã lưu ký tại VSD và chưa giao dịch, cầm cố
</t>
  </si>
  <si>
    <t xml:space="preserve">d.Tài sản tài chính đã lưu ký tại VSD và chưa giao dịch, phong tỏa, tạm giữ
</t>
  </si>
  <si>
    <t xml:space="preserve">3. Tài sản tài chính chờ về của Nhà đầu tư
</t>
  </si>
  <si>
    <t xml:space="preserve">a. Tiền gửi bù trừ và thanh toán giao dịch chứng khoán Nhà đầu tư trong nước
</t>
  </si>
  <si>
    <t>5</t>
  </si>
  <si>
    <t>8</t>
  </si>
  <si>
    <t>12</t>
  </si>
  <si>
    <t>13</t>
  </si>
  <si>
    <t xml:space="preserve">21.4
</t>
  </si>
  <si>
    <t xml:space="preserve">33
</t>
  </si>
  <si>
    <t xml:space="preserve">35
</t>
  </si>
  <si>
    <t xml:space="preserve">e.Tài sản tài chính chờ thanh toán
</t>
  </si>
  <si>
    <t xml:space="preserve">29.1
</t>
  </si>
  <si>
    <t xml:space="preserve">7. Cổ phiếu quỹ
</t>
  </si>
  <si>
    <t xml:space="preserve">d.Tài sản tài chính phong tỏa, tạm giữ
</t>
  </si>
  <si>
    <t xml:space="preserve">2
</t>
  </si>
  <si>
    <t xml:space="preserve">9. Tài sản tài chính đã lưu ký tại VSD và chưa giao dịch của CTCK 
</t>
  </si>
  <si>
    <t>21.2</t>
  </si>
  <si>
    <t xml:space="preserve">21.3
</t>
  </si>
  <si>
    <t>CHỈ TIÊU</t>
  </si>
  <si>
    <t>Năm nay</t>
  </si>
  <si>
    <t>Năm trước</t>
  </si>
  <si>
    <t xml:space="preserve">Năm 202...  </t>
  </si>
  <si>
    <t xml:space="preserve">Đơn vị tính: Đồng Việt Nam </t>
  </si>
  <si>
    <t xml:space="preserve">1.4. Lãi từ tài sản tài chính sẵn sàng để bán (AFS)
</t>
  </si>
  <si>
    <t xml:space="preserve">1.5. Lãi từ các công cụ phái sinh phòng ngừa rủi ro
</t>
  </si>
  <si>
    <t xml:space="preserve">13.2.Thu nhập pha loãng trên cổ phiếu (Đồng/1 cổ phiếu)
</t>
  </si>
  <si>
    <t xml:space="preserve">6
</t>
  </si>
  <si>
    <t xml:space="preserve">8
</t>
  </si>
  <si>
    <t xml:space="preserve">9
</t>
  </si>
  <si>
    <t xml:space="preserve">21.2
</t>
  </si>
  <si>
    <t xml:space="preserve">61
</t>
  </si>
  <si>
    <t xml:space="preserve">91
</t>
  </si>
  <si>
    <t xml:space="preserve">100.1
</t>
  </si>
  <si>
    <t xml:space="preserve">301
</t>
  </si>
  <si>
    <t xml:space="preserve">500
</t>
  </si>
  <si>
    <t xml:space="preserve">c. Cổ tức, tiền lãi phát sinh từ tài sản tài chính FVTPL
</t>
  </si>
  <si>
    <t xml:space="preserve">2.4. Chi phí dự phòng tài sản tài chính, xử lý tổn thất các khoản phải thu khó đòi và lỗ suy giảm tài sản tài chính và chi phí đi vay của các khoản cho vay
</t>
  </si>
  <si>
    <t xml:space="preserve">2.10. Chi phí nghiệp vụ lưu ký chứng khoán
</t>
  </si>
  <si>
    <t xml:space="preserve">2.11. Chi phí hoạt động tư vấn tài chính
</t>
  </si>
  <si>
    <t xml:space="preserve">IX. TỔNG LỢI NHUẬN KẾ TOÁN TRƯỚC THUẾ (90=70 + 80)
</t>
  </si>
  <si>
    <t xml:space="preserve">b.    Chênh lệch giảm đánh giá lại các TSTC FVTPL
</t>
  </si>
  <si>
    <t xml:space="preserve">2.8. Chi phí nghiệp vụ bảo lãnh, đại lý phát hành chứng khoán
</t>
  </si>
  <si>
    <t xml:space="preserve">4.3. Lỗ bán, thanh lý các khoản đầu tư vào công ty con, liên kết, liên doanh
</t>
  </si>
  <si>
    <t xml:space="preserve">Cộng chi phí tài chính (60 = 51 đến 55)
</t>
  </si>
  <si>
    <t xml:space="preserve">9.2. Lợi nhuận chưa thực hiện
</t>
  </si>
  <si>
    <t xml:space="preserve">12.3. Lãi, lỗ đánh giá lại tài sản cố định theo mô hình giá trị hợp lý
</t>
  </si>
  <si>
    <t xml:space="preserve">XIII. THU NHẬP THUẦN TRÊN CỔ PHIẾU PHỔ THÔNG
</t>
  </si>
  <si>
    <t xml:space="preserve">1.2
</t>
  </si>
  <si>
    <t xml:space="preserve">7
</t>
  </si>
  <si>
    <t xml:space="preserve">Cộng kết quả hoạt động khác (80= 71-72)
</t>
  </si>
  <si>
    <t xml:space="preserve">4.2. Chi phí lãi vay
</t>
  </si>
  <si>
    <t xml:space="preserve">4.5. Chi phí tài chính khác
</t>
  </si>
  <si>
    <t xml:space="preserve">V. CHI PHÍ BÁN HÀNG
</t>
  </si>
  <si>
    <t xml:space="preserve">10.1.Chi phí thuế TNDN hiện hành
</t>
  </si>
  <si>
    <t xml:space="preserve">XII. THU NHẬP (LỖ) TOÀN DIỆN KHÁC SAU THUẾ TNDN
</t>
  </si>
  <si>
    <t xml:space="preserve">12.4. Lãi, lỗ toàn diện khác
</t>
  </si>
  <si>
    <t xml:space="preserve">1.9. Doanh thu nghiệp vụ lưu ký chứng khoán
</t>
  </si>
  <si>
    <t xml:space="preserve">1.10. Doanh thu hoạt động tư vấn tài chính
</t>
  </si>
  <si>
    <t xml:space="preserve">II. CHI PHÍ HOẠT ĐỘNG 
</t>
  </si>
  <si>
    <t xml:space="preserve">2.1. Lỗ các tài sản tài chính ghi nhận thông qua lãi/lỗ (FVTPL)
</t>
  </si>
  <si>
    <t xml:space="preserve">2.9. Chi phí nghiệp vụ tư vấn đầu tư chứng khoán
</t>
  </si>
  <si>
    <t xml:space="preserve">Cộng chi phí hoạt động (40 = 21 đến 32)
</t>
  </si>
  <si>
    <t xml:space="preserve">3.1. Chênh lệch lãi tỷ giá hối đoái đã và chưa thực hiện
</t>
  </si>
  <si>
    <t xml:space="preserve">3.2. Doanh thu, dự thu cổ tức, lãi tiền gửi ngân hàng không cố định 
</t>
  </si>
  <si>
    <t xml:space="preserve">Cộng doanh thu hoạt động tài chính (50 = 41 đến 44)
</t>
  </si>
  <si>
    <t xml:space="preserve">8.1. Thu nhập khác
</t>
  </si>
  <si>
    <t>26</t>
  </si>
  <si>
    <t xml:space="preserve">42
</t>
  </si>
  <si>
    <t xml:space="preserve">55
</t>
  </si>
  <si>
    <t xml:space="preserve">60
</t>
  </si>
  <si>
    <t xml:space="preserve">54
</t>
  </si>
  <si>
    <t xml:space="preserve">92
</t>
  </si>
  <si>
    <t xml:space="preserve">302
</t>
  </si>
  <si>
    <t xml:space="preserve">III. DOANH THU HOẠT ĐỘNG TÀI CHÍNH
</t>
  </si>
  <si>
    <t xml:space="preserve">3.3. Lãi bán, thanh lý các khoản đầu tư vào công ty con, liên kết, liên doanh
</t>
  </si>
  <si>
    <t xml:space="preserve">13.1.Lãi cơ bản trên cổ phiếu (Đồng/1 cổ phiếu)
</t>
  </si>
  <si>
    <t xml:space="preserve">10
</t>
  </si>
  <si>
    <t xml:space="preserve">20
</t>
  </si>
  <si>
    <t xml:space="preserve">X. CHI PHÍ THUẾ TNDN
</t>
  </si>
  <si>
    <t xml:space="preserve">1.3
</t>
  </si>
  <si>
    <t xml:space="preserve">40
</t>
  </si>
  <si>
    <t xml:space="preserve">41
</t>
  </si>
  <si>
    <t xml:space="preserve">50
</t>
  </si>
  <si>
    <t xml:space="preserve">52
</t>
  </si>
  <si>
    <t xml:space="preserve">60
</t>
  </si>
  <si>
    <t xml:space="preserve">72
</t>
  </si>
  <si>
    <t xml:space="preserve">9.1. Lợi nhuận đã thực hiện
</t>
  </si>
  <si>
    <t>304</t>
  </si>
  <si>
    <t xml:space="preserve">I. DOANH THU HOẠT ĐỘNG 
</t>
  </si>
  <si>
    <t xml:space="preserve">b. Chênh lệch tăng về đánh giá lại các TSTC FVTPL 
</t>
  </si>
  <si>
    <t xml:space="preserve">1.6. Doanh thu nghiệp vụ môi giới chứng khoán
</t>
  </si>
  <si>
    <t xml:space="preserve">1.8. Doanh thu nghiệp vụ tư vấn đầu tư chứng khoán
</t>
  </si>
  <si>
    <t xml:space="preserve">4.1. Chênh lệch lỗ tỷ giá hối đoái đã và chưa thực hiện
</t>
  </si>
  <si>
    <t xml:space="preserve">70
</t>
  </si>
  <si>
    <t xml:space="preserve">71
</t>
  </si>
  <si>
    <t xml:space="preserve">100.2
</t>
  </si>
  <si>
    <t xml:space="preserve">VI. CHI PHÍ QUẢN LÝ CÔNG TY CHỨNG KHOÁN
</t>
  </si>
  <si>
    <t xml:space="preserve">VIII. THU NHẬP KHÁC VÀ CHI PHÍ KHÁC 
</t>
  </si>
  <si>
    <t xml:space="preserve">8.2. Chi phí khác
</t>
  </si>
  <si>
    <t xml:space="preserve">10.2.Chi phí thuế TNDN hoãn lại
</t>
  </si>
  <si>
    <t xml:space="preserve">1.7. Doanh thu nghiệp vụ bảo lãnh, đại lý phát hành chứng khoán
</t>
  </si>
  <si>
    <t xml:space="preserve">XI. LỢI NHUẬN KẾ TOÁN SAU THUẾ TNDN (200 = 90 - 100)
</t>
  </si>
  <si>
    <t xml:space="preserve">12.1.Lãi/(Lỗ) từ đánh giá lại các tài sản tài chính sẵn sàng để bán
</t>
  </si>
  <si>
    <t xml:space="preserve">a. Lãi bán các tài sản tài chính FVTPL
</t>
  </si>
  <si>
    <t xml:space="preserve">1.2. Lãi từ các khoản đầu tư nắm giữ đến ngày đáo hạn (HTM)
</t>
  </si>
  <si>
    <t xml:space="preserve">1.11. Thu nhập hoạt động khác 
</t>
  </si>
  <si>
    <t xml:space="preserve">c.     Chi phí giao dịch mua các tài sản tài chính FVTPL
</t>
  </si>
  <si>
    <t xml:space="preserve">2.3. Lỗ và ghi nhận chênh lệch đánh giá theo giá trị hợp lý tài sản tài chính sẵn sàng để bán (AFS) khi phân loại lại
</t>
  </si>
  <si>
    <t xml:space="preserve">2.12. Chi phí các dịch vụ khác
</t>
  </si>
  <si>
    <t xml:space="preserve">Tổng thu nhập toàn diện
</t>
  </si>
  <si>
    <t xml:space="preserve">1.1
</t>
  </si>
  <si>
    <t xml:space="preserve">3
</t>
  </si>
  <si>
    <t xml:space="preserve">VII. KẾT QUẢ HOẠT ĐỘNG (70= 20+50-40 -60-61-62)
</t>
  </si>
  <si>
    <t xml:space="preserve">Cộng doanh thu hoạt động (20 = 01 đến 11)
</t>
  </si>
  <si>
    <t xml:space="preserve">a.     Lỗ bán các tài sản tài chính FVTPL
</t>
  </si>
  <si>
    <t xml:space="preserve">2.2. Lỗ các khoản đầu tư nắm giữ đến ngày đáo hạn (HTM)
</t>
  </si>
  <si>
    <t xml:space="preserve">2.7. Chi phí nghiệp vụ môi giới chứng khoán
</t>
  </si>
  <si>
    <t xml:space="preserve">11
</t>
  </si>
  <si>
    <t xml:space="preserve">44
</t>
  </si>
  <si>
    <t xml:space="preserve">51
</t>
  </si>
  <si>
    <t xml:space="preserve">62
</t>
  </si>
  <si>
    <t xml:space="preserve">100
</t>
  </si>
  <si>
    <t>303</t>
  </si>
  <si>
    <t xml:space="preserve">2.5. Lỗ từ các tài sản tài chính phái sinh phòng ngừa rủi ro
</t>
  </si>
  <si>
    <t xml:space="preserve">2.6. Chi phí hoạt động tự doanh
</t>
  </si>
  <si>
    <t xml:space="preserve">12.2. Lãi/(lỗ) chênh lệch tỷ giá của hoạt động tại nước ngoài 
</t>
  </si>
  <si>
    <t xml:space="preserve">1.3. Lãi từ các khoản cho vay và phải thu
</t>
  </si>
  <si>
    <t xml:space="preserve">24
</t>
  </si>
  <si>
    <t xml:space="preserve">43
</t>
  </si>
  <si>
    <t xml:space="preserve">3.4. Doanh thu khác về đầu tư
</t>
  </si>
  <si>
    <t xml:space="preserve">IV. CHI PHÍ TÀI CHÍNH 
</t>
  </si>
  <si>
    <t xml:space="preserve">4.4. Chi phí dự phòng suy giảm giá trị các khoản đầu tư tài chính dài hạn
</t>
  </si>
  <si>
    <t>502</t>
  </si>
  <si>
    <t xml:space="preserve">80
</t>
  </si>
  <si>
    <t xml:space="preserve">90
</t>
  </si>
  <si>
    <t xml:space="preserve">501
</t>
  </si>
  <si>
    <t xml:space="preserve">1.1. Lãi từ các tài sản tài chính ghi nhận thông qua lãi/lỗ (FVTPL)
</t>
  </si>
  <si>
    <t xml:space="preserve">(Theo phương pháp trực tiếp) </t>
  </si>
  <si>
    <t>Đơn vị tính: Đồng Việt Nam</t>
  </si>
  <si>
    <t xml:space="preserve">1.Tiền đã chi mua các tài sản tài chính
</t>
  </si>
  <si>
    <t xml:space="preserve">10.Tiền chi thanh toán các chi phí cho hoạt động mua, bán các tài sản tài chính 
</t>
  </si>
  <si>
    <t xml:space="preserve">12. Tiền chi khác cho hoạt động kinh doanh
</t>
  </si>
  <si>
    <t xml:space="preserve">Lưu chuyển tiền thuần từ hoạt động kinh doanh
</t>
  </si>
  <si>
    <t xml:space="preserve">1.Tiền thu từ phát hành cổ phiếu, nhận vốn góp của chủ sở hữu
</t>
  </si>
  <si>
    <t xml:space="preserve">3.Tiền vay gốc
</t>
  </si>
  <si>
    <t xml:space="preserve">4. Tiền chi trả nợ gốc vay
</t>
  </si>
  <si>
    <t xml:space="preserve">Ảnh hưởng của thay đổi tỷ giá hối đoái quy đổi ngoại tệ
</t>
  </si>
  <si>
    <t>30</t>
  </si>
  <si>
    <t>31</t>
  </si>
  <si>
    <t xml:space="preserve">34.2
</t>
  </si>
  <si>
    <t xml:space="preserve">36
</t>
  </si>
  <si>
    <t>60</t>
  </si>
  <si>
    <t>33.1</t>
  </si>
  <si>
    <t xml:space="preserve">34.1
</t>
  </si>
  <si>
    <t>50</t>
  </si>
  <si>
    <t>61</t>
  </si>
  <si>
    <t xml:space="preserve">1.Tiền chi để mua sắm, xây dựng TSCĐ, BĐSĐT và các tài sản khác
</t>
  </si>
  <si>
    <t xml:space="preserve">2.Tiền thu từ thanh lý, nhượng bán TSCĐ, BĐSĐT  và các tài sản khác
</t>
  </si>
  <si>
    <t>33</t>
  </si>
  <si>
    <t xml:space="preserve">63
</t>
  </si>
  <si>
    <t>20</t>
  </si>
  <si>
    <t>32</t>
  </si>
  <si>
    <t xml:space="preserve">33.2
</t>
  </si>
  <si>
    <t xml:space="preserve">34.3
</t>
  </si>
  <si>
    <t xml:space="preserve">Lưu chuyển tiền thuần từ hoạt động đầu tư
</t>
  </si>
  <si>
    <t xml:space="preserve">3.2. Tiền vay khác
</t>
  </si>
  <si>
    <t xml:space="preserve">IV. Tăng/giảm tiền thuần trong kỳ
</t>
  </si>
  <si>
    <t xml:space="preserve">V. Tiền và các khoản tương đương tiền đầu kỳ
</t>
  </si>
  <si>
    <t xml:space="preserve">Các khoản tương đương tiền
</t>
  </si>
  <si>
    <t xml:space="preserve">Tiền 
</t>
  </si>
  <si>
    <t xml:space="preserve">4.1. Tiền chi trả gốc vay Quỹ Hỗ trợ thanh toán
</t>
  </si>
  <si>
    <t xml:space="preserve">6. Cổ tức, lợi nhuận đã trả cho chủ sở hữu
</t>
  </si>
  <si>
    <t xml:space="preserve">I. Lưu chuyển tiền từ hoạt động kinh doanh
</t>
  </si>
  <si>
    <t xml:space="preserve">4. Cổ tức đã nhận 
</t>
  </si>
  <si>
    <t xml:space="preserve">III. Lưu chuyển tiền từ hoạt động tài chính
</t>
  </si>
  <si>
    <t xml:space="preserve">3.Tiền chi đầu tư góp vốn vào công ty con, công  ty liên doanh, liên kết và đầu tư khác
</t>
  </si>
  <si>
    <t>23</t>
  </si>
  <si>
    <t xml:space="preserve">4.Tiền thu hồi đầu tư góp vốn vào công ty con, công ty liên doanh, liên kết và đầu tư khác
</t>
  </si>
  <si>
    <t xml:space="preserve">2.Tiền chi trả vốn góp cho các chủ sở hữu, mua lại cổ phiếu đã phát hành
</t>
  </si>
  <si>
    <t xml:space="preserve">3.1. Tiền vay Quỹ Hỗ trợ thanh toán
</t>
  </si>
  <si>
    <t xml:space="preserve">4.2. Tiền chi trả gốc vay tài sản tài chính
</t>
  </si>
  <si>
    <t xml:space="preserve">4.3. Tiền chi trả gốc vay khác
</t>
  </si>
  <si>
    <t xml:space="preserve">5.Tiền chi trả nợ gốc thuê tài chính
</t>
  </si>
  <si>
    <t>22</t>
  </si>
  <si>
    <t>25</t>
  </si>
  <si>
    <t xml:space="preserve">8. Tiền chi trả cho người lao động
</t>
  </si>
  <si>
    <t xml:space="preserve">Lưu chuyển tiền thuần từ hoạt động tài chính
</t>
  </si>
  <si>
    <t xml:space="preserve">2.Tiền đã thu từ bán các tài sản tài chính
</t>
  </si>
  <si>
    <t>24</t>
  </si>
  <si>
    <t xml:space="preserve">7. Tiền chi trả Tổ chức cung cấp dịch vụ cho CTCK 
</t>
  </si>
  <si>
    <t>72</t>
  </si>
  <si>
    <t>73</t>
  </si>
  <si>
    <t xml:space="preserve">3. Tiền chi nộp Quỹ Hỗ trợ thanh toán
</t>
  </si>
  <si>
    <t xml:space="preserve">5. Tiền lãi đã thu
</t>
  </si>
  <si>
    <t xml:space="preserve">6. Tiền chi trả lãi vay cho hoạt động của CTCK 
</t>
  </si>
  <si>
    <t xml:space="preserve">11. Tiền thu khác từ hoạt động kinh doanh
</t>
  </si>
  <si>
    <t xml:space="preserve">9. Tiền chi nộp thuế liên quan đến hoạt động CTCK 
</t>
  </si>
  <si>
    <t xml:space="preserve">II. Lưu chuyển tiền từ hoạt động đầu tư
</t>
  </si>
  <si>
    <t xml:space="preserve">5.Tiền thu về  cổ tức và lợi nhuận được chia từ các khoản đầu tư tài chính dài hạn
</t>
  </si>
  <si>
    <t xml:space="preserve">VI. Tiền và các khoản tương đương tiền cuối kỳ (70 = 50 + 60)
</t>
  </si>
  <si>
    <t>Theo phương pháp trực tiếp</t>
  </si>
  <si>
    <t>Tăng/giảm tiền thuần trong kỳ</t>
  </si>
  <si>
    <t>45</t>
  </si>
  <si>
    <t xml:space="preserve">3. Tiền thu bán chứng khoán ủy thác của khách hàng
</t>
  </si>
  <si>
    <t xml:space="preserve">4.Tiền chi mua chứng khoán ủy thác của khách hàng
</t>
  </si>
  <si>
    <t xml:space="preserve">2. Tiền chi mua chứng khoán môi giới cho khách hàng
</t>
  </si>
  <si>
    <t xml:space="preserve">13. Tiền chi trả Tổ chức phát hành chứng khoán
</t>
  </si>
  <si>
    <t xml:space="preserve">II. Tiền và các khoản tương đương tiền đầu kỳ của khách hàng
</t>
  </si>
  <si>
    <t xml:space="preserve">Tiền gửi ngân hàng đầu kỳ:
</t>
  </si>
  <si>
    <t xml:space="preserve">-Tiền gửi của Nhà đầu tư về giao dịch chứng khoán theo phương thức CTCK quản lý 
</t>
  </si>
  <si>
    <t xml:space="preserve">Trong đó có kỳ hạn
</t>
  </si>
  <si>
    <t xml:space="preserve">-Tiền gửi của tổ chức phát hành
</t>
  </si>
  <si>
    <t>35</t>
  </si>
  <si>
    <t>44</t>
  </si>
  <si>
    <t xml:space="preserve">- Tiền gửi bù trừ và thanh toán giao dịch chứng khoán
</t>
  </si>
  <si>
    <t xml:space="preserve">- Tiền gửi tổng hợp giao dịch chứng khoán cho khách hàng 
</t>
  </si>
  <si>
    <t>34</t>
  </si>
  <si>
    <t>47</t>
  </si>
  <si>
    <t xml:space="preserve">B
</t>
  </si>
  <si>
    <t xml:space="preserve">6. Chi trả vay Quỹ Hỗ trợ thanh toán
</t>
  </si>
  <si>
    <t xml:space="preserve">III. Tiền và các khoản tương đương tiền cuối kỳ của khách hàng (40 = 20 + 30)
</t>
  </si>
  <si>
    <t xml:space="preserve">I. Lưu chuyển tiền hoạt động môi giới, ủy thác của khách hàng
</t>
  </si>
  <si>
    <t xml:space="preserve">7. Nhận tiền gửi để thanh toán giao dịch chứng khoán của khách hàng 
</t>
  </si>
  <si>
    <t>43</t>
  </si>
  <si>
    <t>46</t>
  </si>
  <si>
    <t xml:space="preserve">8. Nhận tiền gửi của Nhà đầu tư cho hoạt động ủy thác đầu tư của khách hàng
</t>
  </si>
  <si>
    <t xml:space="preserve">9. Chi trả phí lưu ký chứng khoán của khách hàng
</t>
  </si>
  <si>
    <t xml:space="preserve">10. Thu lỗi giao dịch chứng khoán
</t>
  </si>
  <si>
    <t xml:space="preserve">12. Tiền thu của Tổ chức phát hành chứng khoán
</t>
  </si>
  <si>
    <t xml:space="preserve">Tiền gửi ngân hàng cuối kỳ:
</t>
  </si>
  <si>
    <t>41</t>
  </si>
  <si>
    <t xml:space="preserve">1. Tiền thu bán chứng khoán môi giới cho khách hàng
</t>
  </si>
  <si>
    <t xml:space="preserve">5. Thu vay Quỹ Hỗ trợ thanh toán
</t>
  </si>
  <si>
    <t xml:space="preserve">11. Chi lỗi giao dịch chứng khoán
</t>
  </si>
  <si>
    <t>36</t>
  </si>
  <si>
    <t>37</t>
  </si>
  <si>
    <t>40</t>
  </si>
  <si>
    <t>42</t>
  </si>
  <si>
    <t>(Theo phương pháp gián tiếp)</t>
  </si>
  <si>
    <t>- Ảnh hưởng của thay đổi tỷ giá hối đoái quy đổi ngoại tệ</t>
  </si>
  <si>
    <t>15</t>
  </si>
  <si>
    <t>62</t>
  </si>
  <si>
    <t xml:space="preserve">73.1
</t>
  </si>
  <si>
    <t xml:space="preserve">74.2
</t>
  </si>
  <si>
    <t xml:space="preserve">101.1
</t>
  </si>
  <si>
    <t xml:space="preserve">- Khấu hao TSCĐ
</t>
  </si>
  <si>
    <t xml:space="preserve">(- Lãi) hoặc (+ lỗ) chênh lệch tỷ giá hối đoái chưa thực hiện.
</t>
  </si>
  <si>
    <t xml:space="preserve">(-) Tăng, (+) giảm phải thu bán các tài sản tài chính
</t>
  </si>
  <si>
    <t xml:space="preserve">- Tăng (giảm) chi phí phải trả (không bao gồm chi phí lãi vay)
</t>
  </si>
  <si>
    <t xml:space="preserve">(-) Lãi vay đã trả
</t>
  </si>
  <si>
    <t xml:space="preserve">-  Tăng (giảm) phải trả người lao động
</t>
  </si>
  <si>
    <t xml:space="preserve">-  Tăng (giảm) phải trả, phải nộp khác
</t>
  </si>
  <si>
    <t xml:space="preserve">2. Tiền thu từ thanh lý, nhượng bán TSCĐ, BĐSĐT và các tài sản khác
</t>
  </si>
  <si>
    <t xml:space="preserve">- Tiền 
</t>
  </si>
  <si>
    <t>51</t>
  </si>
  <si>
    <t xml:space="preserve">76
</t>
  </si>
  <si>
    <t xml:space="preserve">101.2
</t>
  </si>
  <si>
    <t xml:space="preserve">2. Tiền chi trả vốn góp cho chủ sở hữu, mua lại cổ phiếu phát hành
</t>
  </si>
  <si>
    <t xml:space="preserve">4.2. Tiền chi trả nợ gốc vay tài sản tài chính
</t>
  </si>
  <si>
    <t>38</t>
  </si>
  <si>
    <t>48</t>
  </si>
  <si>
    <t>70</t>
  </si>
  <si>
    <t xml:space="preserve">74.1
</t>
  </si>
  <si>
    <t>90</t>
  </si>
  <si>
    <t>101</t>
  </si>
  <si>
    <t xml:space="preserve">103.1
</t>
  </si>
  <si>
    <t>103</t>
  </si>
  <si>
    <t xml:space="preserve">VI. Tiền và các khoản tương đương tiền cuối kỳ
</t>
  </si>
  <si>
    <t xml:space="preserve">- Lãi, lỗ từ hoạt động đầu tư 
</t>
  </si>
  <si>
    <t xml:space="preserve">-  Tăng (giảm) tài sản tài chính sẵn sàng để bán AFS 
</t>
  </si>
  <si>
    <t>14</t>
  </si>
  <si>
    <t>16</t>
  </si>
  <si>
    <t xml:space="preserve">103.2
</t>
  </si>
  <si>
    <t xml:space="preserve">4. Tiền thu hồi các khoản đầu tư vào công ty con, công ty liên doanh, liên kết và đầu tư khác
</t>
  </si>
  <si>
    <t xml:space="preserve">-  Lãi về ghi nhận chênh lệch đánh giá theo giá trị hợp lý TSTC sẵn sàng để bán (AFS) khi phân loại lại
</t>
  </si>
  <si>
    <t xml:space="preserve">- Lãi khác
</t>
  </si>
  <si>
    <t xml:space="preserve">(-) Thuế TNDN đã nộp 
</t>
  </si>
  <si>
    <t xml:space="preserve">5. Tiền thu về cổ tức và lợi nhuận được chia từ các khoản đầu tư tài chính dài hạn
</t>
  </si>
  <si>
    <t xml:space="preserve">- Các khoản tương đương tiền
</t>
  </si>
  <si>
    <t xml:space="preserve">2. Điều chỉnh cho các khoản: 
</t>
  </si>
  <si>
    <t xml:space="preserve">3. Tăng các chi phí phi tiền tệ
</t>
  </si>
  <si>
    <t xml:space="preserve">- Lỗ đánh giá lại giá trị các tài sản tài chính ghi nhận thông qua lãi/lỗ FVTPL
</t>
  </si>
  <si>
    <t xml:space="preserve">74.3
</t>
  </si>
  <si>
    <t xml:space="preserve">5. Lợi nhuận từ hoạt động kinh doanh trước thay đổi vốn lưu động
</t>
  </si>
  <si>
    <t xml:space="preserve">(-) Tăng, (+) giảm phải thu và dự thu cổ tức, tiền lãi các tài sản tài chính
</t>
  </si>
  <si>
    <t xml:space="preserve">(-) Tăng, (+) giảm các khoản phải thu các dịch vụ CTCK cung cấp
</t>
  </si>
  <si>
    <t xml:space="preserve">(-) Tăng, (+) giảm các khoản phải thu về lỗi giao dịch các TSTC
</t>
  </si>
  <si>
    <t xml:space="preserve">(-) Tăng, (+) giảm các khoản phải thu khác
</t>
  </si>
  <si>
    <t xml:space="preserve">-  Tăng (giảm) thuế và các khoản phải nộp Nhà nước (Không bao gồm thuế TNDN đã nộp)
</t>
  </si>
  <si>
    <t xml:space="preserve">- Tiền thu khác từ hoạt động kinh doanh
</t>
  </si>
  <si>
    <t xml:space="preserve">3. Tiền chi đầu tư vốn vào công ty con, công ty liên doanh, liên kết và đầu tư khác
</t>
  </si>
  <si>
    <t>17</t>
  </si>
  <si>
    <t>39</t>
  </si>
  <si>
    <t>49</t>
  </si>
  <si>
    <t>63</t>
  </si>
  <si>
    <t>71</t>
  </si>
  <si>
    <t xml:space="preserve">- Tăng (giảm) phải trả về lỗi giao dịch các TSTC
</t>
  </si>
  <si>
    <t>102</t>
  </si>
  <si>
    <t xml:space="preserve">-  Tăng (giảm) Các khoản đầu tư nắm giữ đến ngày đáo hạn (HTM)
</t>
  </si>
  <si>
    <t xml:space="preserve">-  Tăng (giảm) Các khoản cho vay 
</t>
  </si>
  <si>
    <t xml:space="preserve">-  Tăng (giảm) các tài sản khác
</t>
  </si>
  <si>
    <t xml:space="preserve">- Các khoản dự phòng
</t>
  </si>
  <si>
    <t xml:space="preserve">- Dự thu tiền lãi 
</t>
  </si>
  <si>
    <t xml:space="preserve">- Lỗ suy giảm giá trị Các khoản cho vay
</t>
  </si>
  <si>
    <t xml:space="preserve">- Lỗ về ghi nhận chênh lệch đánh giá theo giá trị hợp lý TSTC sẵn sàng để bán AFS khi phân loại lại
</t>
  </si>
  <si>
    <t xml:space="preserve">- Suy giảm giá trị của các tài sản cố định, BĐSĐT 
</t>
  </si>
  <si>
    <t xml:space="preserve">-   Lỗ khác
</t>
  </si>
  <si>
    <t xml:space="preserve">4. Giảm các doanh thu phi tiền tệ
</t>
  </si>
  <si>
    <t xml:space="preserve">- Các khoản điều chỉnh khác 
</t>
  </si>
  <si>
    <t xml:space="preserve">- Lỗ suy giảm giá trị Các khoản đầu tư nắm giữ đến ngày đáo hạn (HTM)
</t>
  </si>
  <si>
    <t xml:space="preserve">- Chi phí dự phòng suy giảm giá trị các khoản đầu tư tài chính dài hạn
</t>
  </si>
  <si>
    <t xml:space="preserve">-  Lãi đánh giá lại giá trị các tài sản tài chính ghi nhận thông qua lãi/lỗ FVTPL
</t>
  </si>
  <si>
    <t xml:space="preserve">-  Tăng (giảm) tài sản tài chính ghi nhận thông qua lãi/lỗ FVTPL
</t>
  </si>
  <si>
    <t xml:space="preserve">- Tăng (giảm)  chi phí trả trước
</t>
  </si>
  <si>
    <t xml:space="preserve">-  Tăng (giảm) phải trả cho người bán
</t>
  </si>
  <si>
    <t xml:space="preserve">-  Tăng (giảm) các khoản trích nộp phúc lợi nhân viên
</t>
  </si>
  <si>
    <t xml:space="preserve">74
</t>
  </si>
  <si>
    <t xml:space="preserve">- Tiền chi khác cho hoạt động kinh doanh
</t>
  </si>
  <si>
    <t xml:space="preserve">1. Tiền chi để mua sắm, xây dựng TSCĐ, BĐSĐT và các tài sản khác
</t>
  </si>
  <si>
    <t xml:space="preserve">3. Tiền vay gốc
</t>
  </si>
  <si>
    <t xml:space="preserve">5. Tiền chi trả nợ gốc thuê tài chính
</t>
  </si>
  <si>
    <t>18</t>
  </si>
  <si>
    <t>19</t>
  </si>
  <si>
    <t>52</t>
  </si>
  <si>
    <t>64</t>
  </si>
  <si>
    <t>65</t>
  </si>
  <si>
    <t xml:space="preserve">73.2
</t>
  </si>
  <si>
    <t xml:space="preserve">75
</t>
  </si>
  <si>
    <t xml:space="preserve">1. Lợi nhuận trước Thuế Thu nhập doanh nghiệp
</t>
  </si>
  <si>
    <t xml:space="preserve">- Chi phí lãi vay
</t>
  </si>
  <si>
    <t xml:space="preserve">- Ảnh hưởng của thay đổi tỷ giá hối đoái quy đổi ngoại tệ
</t>
  </si>
  <si>
    <t>104</t>
  </si>
  <si>
    <t xml:space="preserve">10. Chi trả cho hoạt động ủy thác đầu tư của khách hàng
</t>
  </si>
  <si>
    <t xml:space="preserve">12. Thu lỗi giao dịch chứng khoán
</t>
  </si>
  <si>
    <t xml:space="preserve">13.Chi lỗi giao dịch chứng khoán
</t>
  </si>
  <si>
    <t xml:space="preserve">- Tiền gửi của Tổ chức phát hành
</t>
  </si>
  <si>
    <t xml:space="preserve">III. Tiền và các khoản tương đương tiền cuối kỳ của khách hàng
</t>
  </si>
  <si>
    <t xml:space="preserve">4. Tiền chi bán chứng khoán ủy thác của khách hàng
</t>
  </si>
  <si>
    <t xml:space="preserve">8. Chi trả thanh toán giao dịch chứng khoán của khách hàng
</t>
  </si>
  <si>
    <t xml:space="preserve">11. Chi trả phí lưu ký chứng khoán của khách hàng 
</t>
  </si>
  <si>
    <t xml:space="preserve">15. Tiền chi trả Tổ chức phát hành chứng khoán
</t>
  </si>
  <si>
    <t xml:space="preserve">-Tiền gửi của Tổ chức phát hành
</t>
  </si>
  <si>
    <t xml:space="preserve">14. Tiền thu của Tổ chức phát hành chứng khoán
</t>
  </si>
  <si>
    <t xml:space="preserve">9. Nhận tiền gửi của Nhà đầu tư cho hoạt động ủy thác đầu tư của khách hàng
</t>
  </si>
  <si>
    <t xml:space="preserve">Tăng/giảm tiền thuần trong kỳ
</t>
  </si>
  <si>
    <t>N-1</t>
  </si>
  <si>
    <t>N</t>
  </si>
  <si>
    <t>Số tăng/giảm</t>
  </si>
  <si>
    <t>Mã chỉ tiêu</t>
  </si>
  <si>
    <t>Số dư cuối năm</t>
  </si>
  <si>
    <t>Số dư đầu năm</t>
  </si>
  <si>
    <t>Giảm</t>
  </si>
  <si>
    <t>Tăng</t>
  </si>
  <si>
    <t xml:space="preserve">Năm….     </t>
  </si>
  <si>
    <t xml:space="preserve">26634
</t>
  </si>
  <si>
    <t xml:space="preserve">26635
</t>
  </si>
  <si>
    <t xml:space="preserve">26641
</t>
  </si>
  <si>
    <t xml:space="preserve">26645
</t>
  </si>
  <si>
    <t xml:space="preserve">26628
</t>
  </si>
  <si>
    <t xml:space="preserve">26629
</t>
  </si>
  <si>
    <t xml:space="preserve">26631
</t>
  </si>
  <si>
    <t xml:space="preserve">26636
</t>
  </si>
  <si>
    <t xml:space="preserve">26637
</t>
  </si>
  <si>
    <t xml:space="preserve">26639
</t>
  </si>
  <si>
    <t xml:space="preserve">26643
</t>
  </si>
  <si>
    <t xml:space="preserve">1. Vốn đầu tư của chủ sở hữu
</t>
  </si>
  <si>
    <t xml:space="preserve">1.2. Cổ phiếu ưu đãi
</t>
  </si>
  <si>
    <t xml:space="preserve">2. Cổ phiếu quỹ (*)
</t>
  </si>
  <si>
    <t xml:space="preserve">6.Chênh lệch tỷ giá hối đoái
</t>
  </si>
  <si>
    <t xml:space="preserve">Tổng cộng
</t>
  </si>
  <si>
    <t xml:space="preserve"> I. Biến động vốn chủ sở hữu
</t>
  </si>
  <si>
    <t xml:space="preserve">4. Lãi, lỗ toàn diện khác
</t>
  </si>
  <si>
    <t xml:space="preserve">3. Quỹ dự trữ bổ sung vốn điều lệ
</t>
  </si>
  <si>
    <t xml:space="preserve">26625
</t>
  </si>
  <si>
    <t xml:space="preserve">26626
</t>
  </si>
  <si>
    <t xml:space="preserve">26627
</t>
  </si>
  <si>
    <t xml:space="preserve">26624
</t>
  </si>
  <si>
    <t xml:space="preserve">26630
</t>
  </si>
  <si>
    <t xml:space="preserve">26632
</t>
  </si>
  <si>
    <t xml:space="preserve">26633
</t>
  </si>
  <si>
    <t xml:space="preserve">26638
</t>
  </si>
  <si>
    <t xml:space="preserve">26640
</t>
  </si>
  <si>
    <t xml:space="preserve">26642
</t>
  </si>
  <si>
    <t xml:space="preserve">26644
</t>
  </si>
  <si>
    <t xml:space="preserve">26646
</t>
  </si>
  <si>
    <t xml:space="preserve">8.1. Lợi nhuận sau thuế đã thực hiện
</t>
  </si>
  <si>
    <t xml:space="preserve">2. Lãi, lỗ đánh giá lại TĐ theo mô hình giá trị hợp lý
</t>
  </si>
  <si>
    <t xml:space="preserve">3. Lãi, lỗ chênh lệch tỷ giá của hoạt động tại nước ngoài
</t>
  </si>
  <si>
    <t xml:space="preserve">1.3. Thặng dư vốn cổ phần 
</t>
  </si>
  <si>
    <t xml:space="preserve">1.4.Quyền chọn chuyển đổi trái phiếu - Cấu phần vốn
</t>
  </si>
  <si>
    <t xml:space="preserve">1.5. Vốn khác của chủ sở hữu 
</t>
  </si>
  <si>
    <t xml:space="preserve">5. Chênh lệch đánh giá lại tài sản theo giá trị hợp lý
</t>
  </si>
  <si>
    <t xml:space="preserve">8. Lợi nhuận chưa phân phối
</t>
  </si>
  <si>
    <t xml:space="preserve">8.2. Lợi nhuận chưa thực hiện 
</t>
  </si>
  <si>
    <t xml:space="preserve">4. Quỹ dự phòng tài chính và rủi ro nghiệp vụ
</t>
  </si>
  <si>
    <t xml:space="preserve">II. Thu nhập toàn diện khác
</t>
  </si>
  <si>
    <t xml:space="preserve">1. Lãi/lỗ từ đánh giá lại các TSTC sẵn sàng để bán
</t>
  </si>
  <si>
    <t xml:space="preserve">7. Các Quỹ khác thuộc vốn chủ sở hữu
</t>
  </si>
  <si>
    <t xml:space="preserve">1.1. Cổ phiếu phổ thông có quyền biểu quyết
</t>
  </si>
  <si>
    <t>Lập, ngày 16 tháng 07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</si>
</sst>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00\ _₫_-;\-* #,##0.00\ _₫_-;_-* &quot;-&quot;??\ _₫_-;_-@_-"/>
  </numFmts>
  <fonts count="2519" x14ac:knownFonts="1">
    <font>
      <sz val="11"/>
      <color theme="1"/>
      <name val="Calibri"/>
      <family val="2"/>
      <scheme val="minor"/>
    </font>
    <font>
      <sz val="10"/>
      <name val="Arial"/>
      <family val="2"/>
    </font>
    <font>
      <sz val="11"/>
      <color theme="1"/>
      <name val="Times New Roman"/>
      <family val="1"/>
    </font>
    <font>
      <b/>
      <sz val="14"/>
      <color theme="1"/>
      <name val="Times New Roman"/>
      <family val="1"/>
    </font>
    <font>
      <i/>
      <sz val="11"/>
      <color theme="1"/>
      <name val="Times New Roman"/>
      <family val="1"/>
    </font>
    <font>
      <b/>
      <sz val="11"/>
      <color theme="1"/>
      <name val="Times New Roman"/>
      <family val="1"/>
    </font>
    <font>
      <sz val="12"/>
      <color theme="1"/>
      <name val="Times New Roman"/>
      <family val="1"/>
    </font>
    <font>
      <sz val="11"/>
      <name val="Times New Roman"/>
      <family val="1"/>
    </font>
    <font>
      <b/>
      <sz val="12"/>
      <color theme="1"/>
      <name val="Times New Roman"/>
      <family val="1"/>
    </font>
    <font>
      <i/>
      <sz val="12"/>
      <color theme="1"/>
      <name val="Times New Roman"/>
      <family val="1"/>
    </font>
    <font>
      <i/>
      <sz val="11"/>
      <name val="Times New Roman"/>
      <family val="1"/>
    </font>
    <font>
      <b/>
      <sz val="11"/>
      <name val="Times New Roman"/>
      <family val="1"/>
    </font>
    <font>
      <b/>
      <u/>
      <sz val="11"/>
      <color theme="1"/>
      <name val="Times New Roman"/>
      <family val="1"/>
    </font>
    <font>
      <sz val="13"/>
      <name val="Times New Roman"/>
    </font>
    <font>
      <sz val="11"/>
      <color indexed="0"/>
      <name val="Times New Roman"/>
    </font>
    <font>
      <b/>
      <sz val="11"/>
      <name val="Times New Roman"/>
    </font>
    <font>
      <b/>
      <sz val="13"/>
      <color indexed="0"/>
      <name val="Times New Roman"/>
    </font>
    <font>
      <b/>
      <sz val="11"/>
      <color indexed="0"/>
      <name val="Times New Roman"/>
    </font>
    <font>
      <b/>
      <sz val="11"/>
      <color indexed="0"/>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sz val="11"/>
      <color indexed="0"/>
      <name val="Times New Roman"/>
    </font>
    <font>
      <u/>
      <sz val="11"/>
      <color indexed="12"/>
      <name val="Times New Roman"/>
    </font>
    <font>
      <i/>
      <sz val="11"/>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name val="Times New Roman"/>
    </font>
    <font>
      <b/>
      <sz val="16"/>
      <color indexed="8"/>
      <name val="Times New Roman"/>
    </font>
    <font>
      <i/>
      <sz val="14"/>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i/>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name val="Times New Roman"/>
    </font>
    <font>
      <b/>
      <sz val="16"/>
      <color indexed="8"/>
      <name val="Times New Roman"/>
    </font>
    <font>
      <b/>
      <sz val="14"/>
      <color indexed="9"/>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i/>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4"/>
      <color indexed="9"/>
      <name val="Times New Roman"/>
    </font>
    <font>
      <i/>
      <sz val="14"/>
      <color indexed="8"/>
      <name val="Times New Roman"/>
    </font>
    <font>
      <b/>
      <sz val="14"/>
      <color indexed="9"/>
      <name val="Times New Roman"/>
    </font>
    <font>
      <b/>
      <sz val="16"/>
      <color indexed="8"/>
      <name val="Times New Roman"/>
    </font>
    <font>
      <i/>
      <sz val="14"/>
      <color indexed="8"/>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b/>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
      <sz val="13"/>
      <color indexed="0"/>
      <name val="Times New Roman"/>
    </font>
  </fonts>
  <fills count="8">
    <fill>
      <patternFill patternType="none"/>
    </fill>
    <fill>
      <patternFill patternType="gray125"/>
    </fill>
    <fill>
      <patternFill patternType="solid">
        <fgColor theme="9" tint="0.39997558519241921"/>
        <bgColor indexed="64"/>
      </patternFill>
    </fill>
    <fill>
      <patternFill patternType="none">
        <fgColor indexed="9"/>
        <bgColor indexed="17"/>
      </patternFill>
    </fill>
    <fill>
      <patternFill patternType="solid">
        <fgColor indexed="17"/>
        <bgColor indexed="17"/>
      </patternFill>
    </fill>
    <fill>
      <patternFill patternType="none">
        <fgColor indexed="9"/>
      </patternFill>
    </fill>
    <fill>
      <patternFill patternType="solid">
        <fgColor indexed="9"/>
      </patternFill>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s>
  <cellStyleXfs count="8">
    <xf numFmtId="0" fontId="0" fillId="0" borderId="0"/>
    <xf numFmtId="0" fontId="1" fillId="0" borderId="0"/>
    <xf numFmtId="164" fontId="1" fillId="0" borderId="0" quotePrefix="1" applyFont="0" applyFill="0" applyBorder="0" applyAlignment="0">
      <protection locked="0"/>
    </xf>
    <xf numFmtId="9" fontId="1" fillId="0" borderId="0" applyFont="0" applyFill="0" applyBorder="0" applyAlignment="0" applyProtection="0"/>
    <xf numFmtId="164" fontId="1" fillId="0" borderId="0" applyFont="0" applyFill="0" applyBorder="0" applyAlignment="0" applyProtection="0"/>
    <xf numFmtId="0" fontId="1" fillId="0" borderId="0"/>
    <xf numFmtId="165" fontId="1" fillId="0" borderId="0" quotePrefix="1" applyFont="0" applyFill="0" applyBorder="0" applyAlignment="0">
      <protection locked="0"/>
    </xf>
    <xf numFmtId="165" fontId="1" fillId="0" borderId="0" applyFont="0" applyFill="0" applyBorder="0" applyAlignment="0" applyProtection="0"/>
  </cellStyleXfs>
  <cellXfs count="2524">
    <xf numFmtId="0" fontId="0" fillId="0" borderId="0" xfId="0"/>
    <xf numFmtId="0" fontId="2" fillId="0" borderId="0" xfId="0" applyFont="1"/>
    <xf numFmtId="0" fontId="6" fillId="0" borderId="0" xfId="0" applyFont="1"/>
    <xf numFmtId="0" fontId="5" fillId="0" borderId="0" xfId="1" applyFont="1" applyAlignment="1">
      <alignment horizontal="center"/>
    </xf>
    <xf numFmtId="0" fontId="8" fillId="2" borderId="1" xfId="0" applyFont="1" applyFill="1" applyBorder="1"/>
    <xf numFmtId="0" fontId="8" fillId="2" borderId="1" xfId="0" applyFont="1" applyFill="1" applyBorder="1" applyAlignment="1">
      <alignment horizontal="center"/>
    </xf>
    <xf numFmtId="0" fontId="5" fillId="0" borderId="0" xfId="1" applyFont="1"/>
    <xf numFmtId="0" fontId="4" fillId="0" borderId="0" xfId="0" applyFont="1" applyAlignment="1">
      <alignment vertical="center"/>
    </xf>
    <xf numFmtId="0" fontId="10" fillId="0" borderId="0" xfId="0" applyFont="1" applyAlignment="1">
      <alignment horizontal="center" vertical="center" wrapText="1"/>
    </xf>
    <xf numFmtId="0" fontId="7" fillId="0" borderId="0" xfId="0" applyFont="1"/>
    <xf numFmtId="0" fontId="12" fillId="0" borderId="0" xfId="0" applyFont="1"/>
    <xf numFmtId="0" fontId="11" fillId="0" borderId="0" xfId="0" applyFont="1"/>
    <xf numFmtId="0" fontId="13" fillId="3" borderId="3" xfId="0" applyFont="1" applyFill="1" applyBorder="1" applyAlignment="1">
      <alignment horizontal="left" vertical="top" wrapText="1"/>
    </xf>
    <xf numFmtId="0" fontId="14" fillId="0" borderId="3" xfId="0" applyFont="1" applyBorder="1" applyAlignment="1">
      <alignment horizontal="left" vertical="top"/>
    </xf>
    <xf numFmtId="0" fontId="15" fillId="0" borderId="0" xfId="0" applyFont="1" applyAlignment="1">
      <alignment horizontal="center" vertical="center"/>
    </xf>
    <xf numFmtId="0" fontId="16" fillId="0" borderId="0" xfId="0" applyFont="1" applyAlignment="1">
      <alignment horizontal="left" vertical="top" wrapText="1"/>
    </xf>
    <xf numFmtId="0" fontId="17" fillId="0" borderId="0" xfId="0" applyFont="1" applyAlignment="1">
      <alignment horizontal="center" vertical="top" wrapText="1"/>
    </xf>
    <xf numFmtId="0" fontId="19" fillId="0" borderId="3" xfId="0" applyFont="1" applyBorder="1" applyAlignment="1">
      <alignment horizontal="center" vertical="top"/>
    </xf>
    <xf numFmtId="0" fontId="20" fillId="0" borderId="3" xfId="0" applyFont="1" applyBorder="1" applyAlignment="1">
      <alignment horizontal="left" vertical="top"/>
    </xf>
    <xf numFmtId="0" fontId="21" fillId="0" borderId="3" xfId="0" applyFont="1" applyBorder="1" applyAlignment="1">
      <alignment horizontal="center" vertical="top"/>
    </xf>
    <xf numFmtId="0" fontId="22" fillId="0" borderId="3" xfId="0" applyFont="1" applyBorder="1" applyAlignment="1">
      <alignment horizontal="left" vertical="top"/>
    </xf>
    <xf numFmtId="0" fontId="23" fillId="0" borderId="3" xfId="0" applyFont="1" applyBorder="1" applyAlignment="1">
      <alignment horizontal="center" vertical="top"/>
    </xf>
    <xf numFmtId="0" fontId="24" fillId="0" borderId="3" xfId="0" applyFont="1" applyBorder="1" applyAlignment="1">
      <alignment horizontal="left" vertical="top"/>
    </xf>
    <xf numFmtId="0" fontId="25" fillId="0" borderId="3" xfId="0" applyFont="1" applyBorder="1" applyAlignment="1">
      <alignment horizontal="center" vertical="top"/>
    </xf>
    <xf numFmtId="0" fontId="26" fillId="0" borderId="3" xfId="0" applyFont="1" applyBorder="1" applyAlignment="1">
      <alignment horizontal="left" vertical="top"/>
    </xf>
    <xf numFmtId="0" fontId="27" fillId="0" borderId="3" xfId="0" applyFont="1" applyBorder="1" applyAlignment="1">
      <alignment horizontal="center" vertical="top"/>
    </xf>
    <xf numFmtId="0" fontId="28" fillId="0" borderId="3" xfId="0" applyFont="1" applyBorder="1" applyAlignment="1">
      <alignment horizontal="left" vertical="top"/>
    </xf>
    <xf numFmtId="0" fontId="29" fillId="0" borderId="3" xfId="0" applyFont="1" applyBorder="1" applyAlignment="1">
      <alignment horizontal="center" vertical="top"/>
    </xf>
    <xf numFmtId="0" fontId="30" fillId="0" borderId="3" xfId="0" applyFont="1" applyBorder="1" applyAlignment="1">
      <alignment horizontal="left" vertical="top"/>
    </xf>
    <xf numFmtId="0" fontId="31" fillId="0" borderId="3" xfId="0" applyFont="1" applyBorder="1" applyAlignment="1">
      <alignment horizontal="center" vertical="top"/>
    </xf>
    <xf numFmtId="0" fontId="32" fillId="0" borderId="3" xfId="0" applyFont="1" applyBorder="1" applyAlignment="1">
      <alignment horizontal="left" vertical="top"/>
    </xf>
    <xf numFmtId="0" fontId="33" fillId="0" borderId="3" xfId="0" applyFont="1" applyBorder="1" applyAlignment="1">
      <alignment horizontal="center" vertical="top"/>
    </xf>
    <xf numFmtId="0" fontId="34" fillId="0" borderId="3" xfId="0" applyFont="1" applyBorder="1" applyAlignment="1">
      <alignment horizontal="left" vertical="top"/>
    </xf>
    <xf numFmtId="0" fontId="35" fillId="0" borderId="0" xfId="0" applyFont="1" applyAlignment="1">
      <alignment horizontal="left" vertical="top" wrapText="1"/>
    </xf>
    <xf numFmtId="0" fontId="36" fillId="3" borderId="3" xfId="0" applyFont="1" applyFill="1" applyBorder="1" applyAlignment="1">
      <alignment horizontal="left" vertical="top" wrapText="1"/>
    </xf>
    <xf numFmtId="0" fontId="39" fillId="4" borderId="3" xfId="0" applyFont="1" applyFill="1" applyBorder="1" applyAlignment="1">
      <alignment horizontal="center" vertical="top" wrapText="1"/>
    </xf>
    <xf numFmtId="0" fontId="40" fillId="5" borderId="3" xfId="0" applyFont="1" applyFill="1" applyBorder="1" applyAlignment="1">
      <alignment horizontal="center" vertical="top"/>
    </xf>
    <xf numFmtId="0" fontId="41" fillId="5" borderId="3" xfId="0" applyFont="1" applyFill="1" applyBorder="1" applyAlignment="1">
      <alignment horizontal="center" vertical="top"/>
    </xf>
    <xf numFmtId="0" fontId="46" fillId="5" borderId="3" xfId="0" applyFont="1" applyFill="1" applyBorder="1" applyAlignment="1">
      <alignment horizontal="left" vertical="top" wrapText="1"/>
    </xf>
    <xf numFmtId="0" fontId="47" fillId="5" borderId="3" xfId="0" applyFont="1" applyFill="1" applyBorder="1" applyAlignment="1">
      <alignment horizontal="left" vertical="top" wrapText="1"/>
    </xf>
    <xf numFmtId="0" fontId="48" fillId="5" borderId="3" xfId="0" applyFont="1" applyFill="1" applyBorder="1" applyAlignment="1">
      <alignment horizontal="left" vertical="top" wrapText="1"/>
    </xf>
    <xf numFmtId="0" fontId="49" fillId="5" borderId="3" xfId="0" applyFont="1" applyFill="1" applyBorder="1" applyAlignment="1">
      <alignment horizontal="left" vertical="top" wrapText="1"/>
    </xf>
    <xf numFmtId="0" fontId="50" fillId="5" borderId="3" xfId="0" applyFont="1" applyFill="1" applyBorder="1" applyAlignment="1">
      <alignment horizontal="left" vertical="top" wrapText="1"/>
    </xf>
    <xf numFmtId="0" fontId="51" fillId="5" borderId="3" xfId="0" applyFont="1" applyFill="1" applyBorder="1" applyAlignment="1">
      <alignment horizontal="left" vertical="top" wrapText="1"/>
    </xf>
    <xf numFmtId="0" fontId="52" fillId="5" borderId="3" xfId="0" applyFont="1" applyFill="1" applyBorder="1" applyAlignment="1">
      <alignment horizontal="left" vertical="top" wrapText="1"/>
    </xf>
    <xf numFmtId="0" fontId="53" fillId="5" borderId="3" xfId="0" applyFont="1" applyFill="1" applyBorder="1" applyAlignment="1">
      <alignment horizontal="left" vertical="top" wrapText="1"/>
    </xf>
    <xf numFmtId="0" fontId="54" fillId="5" borderId="3" xfId="0" applyFont="1" applyFill="1" applyBorder="1" applyAlignment="1">
      <alignment horizontal="center" vertical="top"/>
    </xf>
    <xf numFmtId="0" fontId="55" fillId="5" borderId="3" xfId="0" applyFont="1" applyFill="1" applyBorder="1" applyAlignment="1">
      <alignment horizontal="center" vertical="top"/>
    </xf>
    <xf numFmtId="0" fontId="56" fillId="5" borderId="3" xfId="0" applyFont="1" applyFill="1" applyBorder="1" applyAlignment="1">
      <alignment horizontal="left" vertical="top" wrapText="1"/>
    </xf>
    <xf numFmtId="0" fontId="59" fillId="5" borderId="3" xfId="0" applyFont="1" applyFill="1" applyBorder="1" applyAlignment="1">
      <alignment horizontal="left" vertical="top" wrapText="1"/>
    </xf>
    <xf numFmtId="0" fontId="60" fillId="5" borderId="3" xfId="0" applyFont="1" applyFill="1" applyBorder="1" applyAlignment="1">
      <alignment horizontal="left" vertical="top" wrapText="1"/>
    </xf>
    <xf numFmtId="0" fontId="61" fillId="5" borderId="3" xfId="0" applyFont="1" applyFill="1" applyBorder="1" applyAlignment="1">
      <alignment horizontal="left" vertical="top" wrapText="1"/>
    </xf>
    <xf numFmtId="0" fontId="62" fillId="5" borderId="3" xfId="0" applyFont="1" applyFill="1" applyBorder="1" applyAlignment="1">
      <alignment horizontal="left" vertical="top" wrapText="1"/>
    </xf>
    <xf numFmtId="0" fontId="75" fillId="5" borderId="3" xfId="0" applyFont="1" applyFill="1" applyBorder="1" applyAlignment="1">
      <alignment horizontal="center" vertical="top"/>
    </xf>
    <xf numFmtId="0" fontId="76" fillId="5" borderId="3" xfId="0" applyFont="1" applyFill="1" applyBorder="1" applyAlignment="1">
      <alignment horizontal="center" vertical="top"/>
    </xf>
    <xf numFmtId="0" fontId="77" fillId="5" borderId="3" xfId="0" applyFont="1" applyFill="1" applyBorder="1" applyAlignment="1">
      <alignment horizontal="center" vertical="top"/>
    </xf>
    <xf numFmtId="0" fontId="78" fillId="5" borderId="3" xfId="0" applyFont="1" applyFill="1" applyBorder="1" applyAlignment="1">
      <alignment horizontal="center" vertical="top"/>
    </xf>
    <xf numFmtId="0" fontId="79" fillId="5" borderId="3" xfId="0" applyFont="1" applyFill="1" applyBorder="1" applyAlignment="1">
      <alignment horizontal="center" vertical="top"/>
    </xf>
    <xf numFmtId="0" fontId="80" fillId="5" borderId="3" xfId="0" applyFont="1" applyFill="1" applyBorder="1" applyAlignment="1">
      <alignment horizontal="center" vertical="top"/>
    </xf>
    <xf numFmtId="0" fontId="81" fillId="5" borderId="3" xfId="0" applyFont="1" applyFill="1" applyBorder="1" applyAlignment="1">
      <alignment horizontal="center" vertical="top"/>
    </xf>
    <xf numFmtId="0" fontId="82" fillId="5" borderId="3" xfId="0" applyFont="1" applyFill="1" applyBorder="1" applyAlignment="1">
      <alignment horizontal="center" vertical="top"/>
    </xf>
    <xf numFmtId="0" fontId="83" fillId="5" borderId="3" xfId="0" applyFont="1" applyFill="1" applyBorder="1" applyAlignment="1">
      <alignment horizontal="center" vertical="top"/>
    </xf>
    <xf numFmtId="0" fontId="84" fillId="5" borderId="3" xfId="0" applyFont="1" applyFill="1" applyBorder="1" applyAlignment="1">
      <alignment horizontal="center" vertical="top"/>
    </xf>
    <xf numFmtId="0" fontId="85" fillId="5" borderId="3" xfId="0" applyFont="1" applyFill="1" applyBorder="1" applyAlignment="1">
      <alignment horizontal="center" vertical="top"/>
    </xf>
    <xf numFmtId="0" fontId="86" fillId="5" borderId="3" xfId="0" applyFont="1" applyFill="1" applyBorder="1" applyAlignment="1">
      <alignment horizontal="center" vertical="top"/>
    </xf>
    <xf numFmtId="0" fontId="87" fillId="5" borderId="3" xfId="0" applyFont="1" applyFill="1" applyBorder="1" applyAlignment="1">
      <alignment horizontal="center" vertical="top"/>
    </xf>
    <xf numFmtId="0" fontId="88" fillId="5" borderId="3" xfId="0" applyFont="1" applyFill="1" applyBorder="1" applyAlignment="1">
      <alignment horizontal="center" vertical="top"/>
    </xf>
    <xf numFmtId="0" fontId="89" fillId="5" borderId="3" xfId="0" applyFont="1" applyFill="1" applyBorder="1" applyAlignment="1">
      <alignment horizontal="left" vertical="top" wrapText="1"/>
    </xf>
    <xf numFmtId="0" fontId="90" fillId="5" borderId="3" xfId="0" applyFont="1" applyFill="1" applyBorder="1" applyAlignment="1">
      <alignment horizontal="left" vertical="top" wrapText="1"/>
    </xf>
    <xf numFmtId="0" fontId="91" fillId="5" borderId="3" xfId="0" applyFont="1" applyFill="1" applyBorder="1" applyAlignment="1">
      <alignment horizontal="left" vertical="top" wrapText="1"/>
    </xf>
    <xf numFmtId="0" fontId="92" fillId="5" borderId="3" xfId="0" applyFont="1" applyFill="1" applyBorder="1" applyAlignment="1">
      <alignment horizontal="left" vertical="top" wrapText="1"/>
    </xf>
    <xf numFmtId="0" fontId="93" fillId="5" borderId="3" xfId="0" applyFont="1" applyFill="1" applyBorder="1" applyAlignment="1">
      <alignment horizontal="center" vertical="top"/>
    </xf>
    <xf numFmtId="0" fontId="94" fillId="5" borderId="3" xfId="0" applyFont="1" applyFill="1" applyBorder="1" applyAlignment="1">
      <alignment horizontal="center" vertical="top"/>
    </xf>
    <xf numFmtId="0" fontId="95" fillId="5" borderId="3" xfId="0" applyFont="1" applyFill="1" applyBorder="1" applyAlignment="1">
      <alignment horizontal="center" vertical="top"/>
    </xf>
    <xf numFmtId="0" fontId="96" fillId="5" borderId="3" xfId="0" applyFont="1" applyFill="1" applyBorder="1" applyAlignment="1">
      <alignment horizontal="center" vertical="top"/>
    </xf>
    <xf numFmtId="0" fontId="97" fillId="5" borderId="3" xfId="0" applyFont="1" applyFill="1" applyBorder="1" applyAlignment="1">
      <alignment horizontal="center" vertical="top"/>
    </xf>
    <xf numFmtId="0" fontId="98" fillId="5" borderId="3" xfId="0" applyFont="1" applyFill="1" applyBorder="1" applyAlignment="1">
      <alignment horizontal="left" vertical="top" wrapText="1"/>
    </xf>
    <xf numFmtId="0" fontId="99" fillId="5" borderId="3" xfId="0" applyFont="1" applyFill="1" applyBorder="1" applyAlignment="1">
      <alignment horizontal="center" vertical="top"/>
    </xf>
    <xf numFmtId="0" fontId="100" fillId="5" borderId="3" xfId="0" applyFont="1" applyFill="1" applyBorder="1" applyAlignment="1">
      <alignment horizontal="center" vertical="top"/>
    </xf>
    <xf numFmtId="0" fontId="101" fillId="5" borderId="3" xfId="0" applyFont="1" applyFill="1" applyBorder="1" applyAlignment="1">
      <alignment horizontal="center" vertical="top"/>
    </xf>
    <xf numFmtId="0" fontId="102" fillId="5" borderId="3" xfId="0" applyFont="1" applyFill="1" applyBorder="1" applyAlignment="1">
      <alignment horizontal="center" vertical="top"/>
    </xf>
    <xf numFmtId="0" fontId="103" fillId="5" borderId="3" xfId="0" applyFont="1" applyFill="1" applyBorder="1" applyAlignment="1">
      <alignment horizontal="center" vertical="top"/>
    </xf>
    <xf numFmtId="0" fontId="104" fillId="5" borderId="3" xfId="0" applyFont="1" applyFill="1" applyBorder="1" applyAlignment="1">
      <alignment horizontal="center" vertical="top"/>
    </xf>
    <xf numFmtId="0" fontId="105" fillId="5" borderId="3" xfId="0" applyFont="1" applyFill="1" applyBorder="1" applyAlignment="1">
      <alignment horizontal="center" vertical="top"/>
    </xf>
    <xf numFmtId="0" fontId="106" fillId="5" borderId="3" xfId="0" applyFont="1" applyFill="1" applyBorder="1" applyAlignment="1">
      <alignment horizontal="center" vertical="top"/>
    </xf>
    <xf numFmtId="0" fontId="107" fillId="5" borderId="3" xfId="0" applyFont="1" applyFill="1" applyBorder="1" applyAlignment="1">
      <alignment horizontal="center" vertical="top"/>
    </xf>
    <xf numFmtId="0" fontId="108" fillId="5" borderId="3" xfId="0" applyFont="1" applyFill="1" applyBorder="1" applyAlignment="1">
      <alignment horizontal="center" vertical="top"/>
    </xf>
    <xf numFmtId="0" fontId="109" fillId="5" borderId="3" xfId="0" applyFont="1" applyFill="1" applyBorder="1" applyAlignment="1">
      <alignment horizontal="center" vertical="top"/>
    </xf>
    <xf numFmtId="0" fontId="110" fillId="5" borderId="3" xfId="0" applyFont="1" applyFill="1" applyBorder="1" applyAlignment="1">
      <alignment horizontal="center" vertical="top"/>
    </xf>
    <xf numFmtId="0" fontId="114" fillId="5" borderId="3" xfId="0" applyFont="1" applyFill="1" applyBorder="1" applyAlignment="1">
      <alignment horizontal="center" vertical="top"/>
    </xf>
    <xf numFmtId="0" fontId="130" fillId="5" borderId="3" xfId="0" applyFont="1" applyFill="1" applyBorder="1" applyAlignment="1">
      <alignment horizontal="center" vertical="top"/>
    </xf>
    <xf numFmtId="0" fontId="149" fillId="5" borderId="3" xfId="0" applyFont="1" applyFill="1" applyBorder="1" applyAlignment="1">
      <alignment horizontal="center" vertical="top"/>
    </xf>
    <xf numFmtId="0" fontId="150" fillId="5" borderId="3" xfId="0" applyFont="1" applyFill="1" applyBorder="1" applyAlignment="1">
      <alignment horizontal="center" vertical="top"/>
    </xf>
    <xf numFmtId="0" fontId="151" fillId="5" borderId="3" xfId="0" applyFont="1" applyFill="1" applyBorder="1" applyAlignment="1">
      <alignment horizontal="center" vertical="top"/>
    </xf>
    <xf numFmtId="0" fontId="152" fillId="5" borderId="3" xfId="0" applyFont="1" applyFill="1" applyBorder="1" applyAlignment="1">
      <alignment horizontal="left" vertical="top" wrapText="1"/>
    </xf>
    <xf numFmtId="0" fontId="162" fillId="5" borderId="3" xfId="0" applyFont="1" applyFill="1" applyBorder="1" applyAlignment="1">
      <alignment horizontal="center" vertical="top"/>
    </xf>
    <xf numFmtId="0" fontId="163" fillId="5" borderId="3" xfId="0" applyFont="1" applyFill="1" applyBorder="1" applyAlignment="1">
      <alignment horizontal="center" vertical="top"/>
    </xf>
    <xf numFmtId="0" fontId="164" fillId="5" borderId="3" xfId="0" applyFont="1" applyFill="1" applyBorder="1" applyAlignment="1">
      <alignment horizontal="center" vertical="top"/>
    </xf>
    <xf numFmtId="0" fontId="165" fillId="5" borderId="3" xfId="0" applyFont="1" applyFill="1" applyBorder="1" applyAlignment="1">
      <alignment horizontal="center" vertical="top"/>
    </xf>
    <xf numFmtId="0" fontId="166" fillId="5" borderId="3" xfId="0" applyFont="1" applyFill="1" applyBorder="1" applyAlignment="1">
      <alignment horizontal="center" vertical="top"/>
    </xf>
    <xf numFmtId="0" fontId="167" fillId="5" borderId="3" xfId="0" applyFont="1" applyFill="1" applyBorder="1" applyAlignment="1">
      <alignment horizontal="center" vertical="top"/>
    </xf>
    <xf numFmtId="0" fontId="168" fillId="5" borderId="3" xfId="0" applyFont="1" applyFill="1" applyBorder="1" applyAlignment="1">
      <alignment horizontal="left" vertical="top" wrapText="1"/>
    </xf>
    <xf numFmtId="0" fontId="200" fillId="5" borderId="3" xfId="0" applyFont="1" applyFill="1" applyBorder="1" applyAlignment="1">
      <alignment horizontal="left" vertical="top" wrapText="1"/>
    </xf>
    <xf numFmtId="0" fontId="201" fillId="5" borderId="3" xfId="0" applyFont="1" applyFill="1" applyBorder="1" applyAlignment="1">
      <alignment horizontal="left" vertical="top" wrapText="1"/>
    </xf>
    <xf numFmtId="0" fontId="202" fillId="5" borderId="3" xfId="0" applyFont="1" applyFill="1" applyBorder="1" applyAlignment="1">
      <alignment horizontal="left" vertical="top" wrapText="1"/>
    </xf>
    <xf numFmtId="0" fontId="203" fillId="5" borderId="3" xfId="0" applyFont="1" applyFill="1" applyBorder="1" applyAlignment="1">
      <alignment horizontal="left" vertical="top" wrapText="1"/>
    </xf>
    <xf numFmtId="0" fontId="204" fillId="5" borderId="3" xfId="0" applyFont="1" applyFill="1" applyBorder="1" applyAlignment="1">
      <alignment horizontal="left" vertical="top" wrapText="1"/>
    </xf>
    <xf numFmtId="0" fontId="205" fillId="5" borderId="3" xfId="0" applyFont="1" applyFill="1" applyBorder="1" applyAlignment="1">
      <alignment horizontal="left" vertical="top" wrapText="1"/>
    </xf>
    <xf numFmtId="0" fontId="206" fillId="5" borderId="3" xfId="0" applyFont="1" applyFill="1" applyBorder="1" applyAlignment="1">
      <alignment horizontal="left" vertical="top" wrapText="1"/>
    </xf>
    <xf numFmtId="0" fontId="207" fillId="5" borderId="3" xfId="0" applyFont="1" applyFill="1" applyBorder="1" applyAlignment="1">
      <alignment horizontal="left" vertical="top" wrapText="1"/>
    </xf>
    <xf numFmtId="0" fontId="208" fillId="5" borderId="3" xfId="0" applyFont="1" applyFill="1" applyBorder="1" applyAlignment="1">
      <alignment horizontal="left" vertical="top" wrapText="1"/>
    </xf>
    <xf numFmtId="0" fontId="209" fillId="5" borderId="3" xfId="0" applyFont="1" applyFill="1" applyBorder="1" applyAlignment="1">
      <alignment horizontal="left" vertical="top" wrapText="1"/>
    </xf>
    <xf numFmtId="0" fontId="210" fillId="5" borderId="3" xfId="0" applyFont="1" applyFill="1" applyBorder="1" applyAlignment="1">
      <alignment horizontal="center" vertical="top"/>
    </xf>
    <xf numFmtId="0" fontId="211" fillId="5" borderId="3" xfId="0" applyFont="1" applyFill="1" applyBorder="1" applyAlignment="1">
      <alignment horizontal="center" vertical="top"/>
    </xf>
    <xf numFmtId="0" fontId="212" fillId="5" borderId="3" xfId="0" applyFont="1" applyFill="1" applyBorder="1" applyAlignment="1">
      <alignment horizontal="center" vertical="top"/>
    </xf>
    <xf numFmtId="0" fontId="213" fillId="5" borderId="3" xfId="0" applyFont="1" applyFill="1" applyBorder="1" applyAlignment="1">
      <alignment horizontal="center" vertical="top"/>
    </xf>
    <xf numFmtId="0" fontId="214" fillId="5" borderId="3" xfId="0" applyFont="1" applyFill="1" applyBorder="1" applyAlignment="1">
      <alignment horizontal="center" vertical="top"/>
    </xf>
    <xf numFmtId="0" fontId="215" fillId="5" borderId="3" xfId="0" applyFont="1" applyFill="1" applyBorder="1" applyAlignment="1">
      <alignment horizontal="center" vertical="top"/>
    </xf>
    <xf numFmtId="0" fontId="216" fillId="5" borderId="3" xfId="0" applyFont="1" applyFill="1" applyBorder="1" applyAlignment="1">
      <alignment horizontal="center" vertical="top"/>
    </xf>
    <xf numFmtId="0" fontId="217" fillId="5" borderId="3" xfId="0" applyFont="1" applyFill="1" applyBorder="1" applyAlignment="1">
      <alignment horizontal="center" vertical="top"/>
    </xf>
    <xf numFmtId="0" fontId="218" fillId="5" borderId="3" xfId="0" applyFont="1" applyFill="1" applyBorder="1" applyAlignment="1">
      <alignment horizontal="center" vertical="top"/>
    </xf>
    <xf numFmtId="0" fontId="219" fillId="5" borderId="3" xfId="0" applyFont="1" applyFill="1" applyBorder="1" applyAlignment="1">
      <alignment horizontal="center" vertical="top"/>
    </xf>
    <xf numFmtId="0" fontId="220" fillId="5" borderId="3" xfId="0" applyFont="1" applyFill="1" applyBorder="1" applyAlignment="1">
      <alignment horizontal="center" vertical="top"/>
    </xf>
    <xf numFmtId="0" fontId="221" fillId="5" borderId="3" xfId="0" applyFont="1" applyFill="1" applyBorder="1" applyAlignment="1">
      <alignment horizontal="center" vertical="top"/>
    </xf>
    <xf numFmtId="0" fontId="222" fillId="5" borderId="3" xfId="0" applyFont="1" applyFill="1" applyBorder="1" applyAlignment="1">
      <alignment horizontal="center" vertical="top"/>
    </xf>
    <xf numFmtId="0" fontId="223" fillId="5" borderId="3" xfId="0" applyFont="1" applyFill="1" applyBorder="1" applyAlignment="1">
      <alignment horizontal="left" vertical="top" wrapText="1"/>
    </xf>
    <xf numFmtId="0" fontId="224" fillId="5" borderId="3" xfId="0" applyFont="1" applyFill="1" applyBorder="1" applyAlignment="1">
      <alignment horizontal="left" vertical="top" wrapText="1"/>
    </xf>
    <xf numFmtId="0" fontId="225" fillId="5" borderId="3" xfId="0" applyFont="1" applyFill="1" applyBorder="1" applyAlignment="1">
      <alignment horizontal="left" vertical="top" wrapText="1"/>
    </xf>
    <xf numFmtId="0" fontId="226" fillId="5" borderId="3" xfId="0" applyFont="1" applyFill="1" applyBorder="1" applyAlignment="1">
      <alignment horizontal="left" vertical="top" wrapText="1"/>
    </xf>
    <xf numFmtId="0" fontId="227" fillId="5" borderId="3" xfId="0" applyFont="1" applyFill="1" applyBorder="1" applyAlignment="1">
      <alignment horizontal="center" vertical="top"/>
    </xf>
    <xf numFmtId="0" fontId="228" fillId="5" borderId="3" xfId="0" applyFont="1" applyFill="1" applyBorder="1" applyAlignment="1">
      <alignment horizontal="center" vertical="top"/>
    </xf>
    <xf numFmtId="0" fontId="229" fillId="5" borderId="3" xfId="0" applyFont="1" applyFill="1" applyBorder="1" applyAlignment="1">
      <alignment horizontal="center" vertical="top"/>
    </xf>
    <xf numFmtId="0" fontId="230" fillId="5" borderId="3" xfId="0" applyFont="1" applyFill="1" applyBorder="1" applyAlignment="1">
      <alignment horizontal="left" vertical="top" wrapText="1"/>
    </xf>
    <xf numFmtId="0" fontId="241" fillId="5" borderId="3" xfId="0" applyFont="1" applyFill="1" applyBorder="1" applyAlignment="1">
      <alignment horizontal="left" vertical="top" wrapText="1"/>
    </xf>
    <xf numFmtId="0" fontId="242" fillId="5" borderId="3" xfId="0" applyFont="1" applyFill="1" applyBorder="1" applyAlignment="1">
      <alignment horizontal="left" vertical="top" wrapText="1"/>
    </xf>
    <xf numFmtId="0" fontId="243" fillId="5" borderId="3" xfId="0" applyFont="1" applyFill="1" applyBorder="1" applyAlignment="1">
      <alignment horizontal="left" vertical="top" wrapText="1"/>
    </xf>
    <xf numFmtId="0" fontId="244" fillId="5" borderId="3" xfId="0" applyFont="1" applyFill="1" applyBorder="1" applyAlignment="1">
      <alignment horizontal="left" vertical="top" wrapText="1"/>
    </xf>
    <xf numFmtId="0" fontId="245" fillId="5" borderId="3" xfId="0" applyFont="1" applyFill="1" applyBorder="1" applyAlignment="1">
      <alignment horizontal="left" vertical="top" wrapText="1"/>
    </xf>
    <xf numFmtId="0" fontId="246" fillId="5" borderId="3" xfId="0" applyFont="1" applyFill="1" applyBorder="1" applyAlignment="1">
      <alignment horizontal="left" vertical="top" wrapText="1"/>
    </xf>
    <xf numFmtId="0" fontId="247" fillId="5" borderId="3" xfId="0" applyFont="1" applyFill="1" applyBorder="1" applyAlignment="1">
      <alignment horizontal="left" vertical="top" wrapText="1"/>
    </xf>
    <xf numFmtId="0" fontId="248" fillId="5" borderId="3" xfId="0" applyFont="1" applyFill="1" applyBorder="1" applyAlignment="1">
      <alignment horizontal="left" vertical="top" wrapText="1"/>
    </xf>
    <xf numFmtId="0" fontId="249" fillId="5" borderId="3" xfId="0" applyFont="1" applyFill="1" applyBorder="1" applyAlignment="1">
      <alignment horizontal="left" vertical="top" wrapText="1"/>
    </xf>
    <xf numFmtId="0" fontId="250" fillId="5" borderId="3" xfId="0" applyFont="1" applyFill="1" applyBorder="1" applyAlignment="1">
      <alignment horizontal="left" vertical="top" wrapText="1"/>
    </xf>
    <xf numFmtId="0" fontId="251" fillId="5" borderId="3" xfId="0" applyFont="1" applyFill="1" applyBorder="1" applyAlignment="1">
      <alignment horizontal="left" vertical="top" wrapText="1"/>
    </xf>
    <xf numFmtId="0" fontId="252" fillId="5" borderId="3" xfId="0" applyFont="1" applyFill="1" applyBorder="1" applyAlignment="1">
      <alignment horizontal="left" vertical="top" wrapText="1"/>
    </xf>
    <xf numFmtId="0" fontId="253" fillId="5" borderId="3" xfId="0" applyFont="1" applyFill="1" applyBorder="1" applyAlignment="1">
      <alignment horizontal="left" vertical="top" wrapText="1"/>
    </xf>
    <xf numFmtId="0" fontId="254" fillId="5" borderId="3" xfId="0" applyFont="1" applyFill="1" applyBorder="1" applyAlignment="1">
      <alignment horizontal="left" vertical="top" wrapText="1"/>
    </xf>
    <xf numFmtId="0" fontId="255" fillId="5" borderId="3" xfId="0" applyFont="1" applyFill="1" applyBorder="1" applyAlignment="1">
      <alignment horizontal="left" vertical="top" wrapText="1"/>
    </xf>
    <xf numFmtId="0" fontId="256" fillId="5" borderId="3" xfId="0" applyFont="1" applyFill="1" applyBorder="1" applyAlignment="1">
      <alignment horizontal="left" vertical="top" wrapText="1"/>
    </xf>
    <xf numFmtId="0" fontId="257" fillId="5" borderId="3" xfId="0" applyFont="1" applyFill="1" applyBorder="1" applyAlignment="1">
      <alignment horizontal="left" vertical="top" wrapText="1"/>
    </xf>
    <xf numFmtId="0" fontId="258" fillId="5" borderId="3" xfId="0" applyFont="1" applyFill="1" applyBorder="1" applyAlignment="1">
      <alignment horizontal="left" vertical="top" wrapText="1"/>
    </xf>
    <xf numFmtId="0" fontId="259" fillId="5" borderId="3" xfId="0" applyFont="1" applyFill="1" applyBorder="1" applyAlignment="1">
      <alignment horizontal="left" vertical="top" wrapText="1"/>
    </xf>
    <xf numFmtId="0" fontId="260" fillId="5" borderId="3" xfId="0" applyFont="1" applyFill="1" applyBorder="1" applyAlignment="1">
      <alignment horizontal="left" vertical="top" wrapText="1"/>
    </xf>
    <xf numFmtId="0" fontId="261" fillId="5" borderId="3" xfId="0" applyFont="1" applyFill="1" applyBorder="1" applyAlignment="1">
      <alignment horizontal="left" vertical="top" wrapText="1"/>
    </xf>
    <xf numFmtId="0" fontId="262" fillId="5" borderId="3" xfId="0" applyFont="1" applyFill="1" applyBorder="1" applyAlignment="1">
      <alignment horizontal="left" vertical="top" wrapText="1"/>
    </xf>
    <xf numFmtId="0" fontId="263" fillId="5" borderId="3" xfId="0" applyFont="1" applyFill="1" applyBorder="1" applyAlignment="1">
      <alignment horizontal="left" vertical="top" wrapText="1"/>
    </xf>
    <xf numFmtId="0" fontId="264" fillId="5" borderId="3" xfId="0" applyFont="1" applyFill="1" applyBorder="1" applyAlignment="1">
      <alignment horizontal="left" vertical="top" wrapText="1"/>
    </xf>
    <xf numFmtId="0" fontId="265" fillId="5" borderId="3" xfId="0" applyFont="1" applyFill="1" applyBorder="1" applyAlignment="1">
      <alignment horizontal="left" vertical="top" wrapText="1"/>
    </xf>
    <xf numFmtId="0" fontId="266" fillId="5" borderId="3" xfId="0" applyFont="1" applyFill="1" applyBorder="1" applyAlignment="1">
      <alignment horizontal="left" vertical="top" wrapText="1"/>
    </xf>
    <xf numFmtId="0" fontId="267" fillId="5" borderId="3" xfId="0" applyFont="1" applyFill="1" applyBorder="1" applyAlignment="1">
      <alignment horizontal="left" vertical="top" wrapText="1"/>
    </xf>
    <xf numFmtId="0" fontId="268" fillId="5" borderId="3" xfId="0" applyFont="1" applyFill="1" applyBorder="1" applyAlignment="1">
      <alignment horizontal="left" vertical="top" wrapText="1"/>
    </xf>
    <xf numFmtId="0" fontId="269" fillId="5" borderId="3" xfId="0" applyFont="1" applyFill="1" applyBorder="1" applyAlignment="1">
      <alignment horizontal="left" vertical="top" wrapText="1"/>
    </xf>
    <xf numFmtId="0" fontId="270" fillId="5" borderId="3" xfId="0" applyFont="1" applyFill="1" applyBorder="1" applyAlignment="1">
      <alignment horizontal="left" vertical="top" wrapText="1"/>
    </xf>
    <xf numFmtId="0" fontId="271" fillId="5" borderId="3" xfId="0" applyFont="1" applyFill="1" applyBorder="1" applyAlignment="1">
      <alignment horizontal="left" vertical="top" wrapText="1"/>
    </xf>
    <xf numFmtId="0" fontId="272" fillId="5" borderId="3" xfId="0" applyFont="1" applyFill="1" applyBorder="1" applyAlignment="1">
      <alignment horizontal="left" vertical="top" wrapText="1"/>
    </xf>
    <xf numFmtId="0" fontId="273" fillId="5" borderId="3" xfId="0" applyFont="1" applyFill="1" applyBorder="1" applyAlignment="1">
      <alignment horizontal="left" vertical="top" wrapText="1"/>
    </xf>
    <xf numFmtId="0" fontId="274" fillId="5" borderId="3" xfId="0" applyFont="1" applyFill="1" applyBorder="1" applyAlignment="1">
      <alignment horizontal="left" vertical="top" wrapText="1"/>
    </xf>
    <xf numFmtId="0" fontId="275" fillId="5" borderId="3" xfId="0" applyFont="1" applyFill="1" applyBorder="1" applyAlignment="1">
      <alignment horizontal="left" vertical="top" wrapText="1"/>
    </xf>
    <xf numFmtId="0" fontId="276" fillId="5" borderId="3" xfId="0" applyFont="1" applyFill="1" applyBorder="1" applyAlignment="1">
      <alignment horizontal="left" vertical="top" wrapText="1"/>
    </xf>
    <xf numFmtId="0" fontId="277" fillId="5" borderId="3" xfId="0" applyFont="1" applyFill="1" applyBorder="1" applyAlignment="1">
      <alignment horizontal="left" vertical="top" wrapText="1"/>
    </xf>
    <xf numFmtId="0" fontId="278" fillId="5" borderId="3" xfId="0" applyFont="1" applyFill="1" applyBorder="1" applyAlignment="1">
      <alignment horizontal="left" vertical="top" wrapText="1"/>
    </xf>
    <xf numFmtId="0" fontId="279" fillId="5" borderId="3" xfId="0" applyFont="1" applyFill="1" applyBorder="1" applyAlignment="1">
      <alignment horizontal="left" vertical="top" wrapText="1"/>
    </xf>
    <xf numFmtId="0" fontId="280" fillId="5" borderId="3" xfId="0" applyFont="1" applyFill="1" applyBorder="1" applyAlignment="1">
      <alignment horizontal="left" vertical="top" wrapText="1"/>
    </xf>
    <xf numFmtId="0" fontId="281" fillId="5" borderId="3" xfId="0" applyFont="1" applyFill="1" applyBorder="1" applyAlignment="1">
      <alignment horizontal="left" vertical="top" wrapText="1"/>
    </xf>
    <xf numFmtId="0" fontId="282" fillId="5" borderId="3" xfId="0" applyFont="1" applyFill="1" applyBorder="1" applyAlignment="1">
      <alignment horizontal="left" vertical="top" wrapText="1"/>
    </xf>
    <xf numFmtId="0" fontId="283" fillId="5" borderId="3" xfId="0" applyFont="1" applyFill="1" applyBorder="1" applyAlignment="1">
      <alignment horizontal="left" vertical="top" wrapText="1"/>
    </xf>
    <xf numFmtId="0" fontId="284" fillId="5" borderId="3" xfId="0" applyFont="1" applyFill="1" applyBorder="1" applyAlignment="1">
      <alignment horizontal="left" vertical="top" wrapText="1"/>
    </xf>
    <xf numFmtId="0" fontId="285" fillId="5" borderId="3" xfId="0" applyFont="1" applyFill="1" applyBorder="1" applyAlignment="1">
      <alignment horizontal="left" vertical="top" wrapText="1"/>
    </xf>
    <xf numFmtId="0" fontId="286" fillId="5" borderId="3" xfId="0" applyFont="1" applyFill="1" applyBorder="1" applyAlignment="1">
      <alignment horizontal="left" vertical="top" wrapText="1"/>
    </xf>
    <xf numFmtId="0" fontId="287" fillId="5" borderId="3" xfId="0" applyFont="1" applyFill="1" applyBorder="1" applyAlignment="1">
      <alignment horizontal="left" vertical="top" wrapText="1"/>
    </xf>
    <xf numFmtId="0" fontId="288" fillId="5" borderId="3" xfId="0" applyFont="1" applyFill="1" applyBorder="1" applyAlignment="1">
      <alignment horizontal="left" vertical="top" wrapText="1"/>
    </xf>
    <xf numFmtId="0" fontId="289" fillId="5" borderId="3" xfId="0" applyFont="1" applyFill="1" applyBorder="1" applyAlignment="1">
      <alignment horizontal="left" vertical="top" wrapText="1"/>
    </xf>
    <xf numFmtId="0" fontId="290" fillId="5" borderId="3" xfId="0" applyFont="1" applyFill="1" applyBorder="1" applyAlignment="1">
      <alignment horizontal="left" vertical="top" wrapText="1"/>
    </xf>
    <xf numFmtId="0" fontId="291" fillId="5" borderId="3" xfId="0" applyFont="1" applyFill="1" applyBorder="1" applyAlignment="1">
      <alignment horizontal="left" vertical="top" wrapText="1"/>
    </xf>
    <xf numFmtId="0" fontId="312" fillId="5" borderId="3" xfId="0" applyFont="1" applyFill="1" applyBorder="1" applyAlignment="1">
      <alignment horizontal="left" vertical="top" wrapText="1"/>
    </xf>
    <xf numFmtId="0" fontId="313" fillId="5" borderId="3" xfId="0" applyFont="1" applyFill="1" applyBorder="1" applyAlignment="1">
      <alignment horizontal="center" vertical="top"/>
    </xf>
    <xf numFmtId="0" fontId="314" fillId="5" borderId="3" xfId="0" applyFont="1" applyFill="1" applyBorder="1" applyAlignment="1">
      <alignment horizontal="center" vertical="top"/>
    </xf>
    <xf numFmtId="0" fontId="315" fillId="5" borderId="3" xfId="0" applyFont="1" applyFill="1" applyBorder="1" applyAlignment="1">
      <alignment horizontal="center" vertical="top"/>
    </xf>
    <xf numFmtId="0" fontId="316" fillId="5" borderId="3" xfId="0" applyFont="1" applyFill="1" applyBorder="1" applyAlignment="1">
      <alignment horizontal="center" vertical="top"/>
    </xf>
    <xf numFmtId="0" fontId="317" fillId="5" borderId="3" xfId="0" applyFont="1" applyFill="1" applyBorder="1" applyAlignment="1">
      <alignment horizontal="center" vertical="top"/>
    </xf>
    <xf numFmtId="0" fontId="318" fillId="5" borderId="3" xfId="0" applyFont="1" applyFill="1" applyBorder="1" applyAlignment="1">
      <alignment horizontal="center" vertical="top"/>
    </xf>
    <xf numFmtId="0" fontId="319" fillId="5" borderId="3" xfId="0" applyFont="1" applyFill="1" applyBorder="1" applyAlignment="1">
      <alignment horizontal="center" vertical="top"/>
    </xf>
    <xf numFmtId="0" fontId="320" fillId="5" borderId="3" xfId="0" applyFont="1" applyFill="1" applyBorder="1" applyAlignment="1">
      <alignment horizontal="center" vertical="top"/>
    </xf>
    <xf numFmtId="0" fontId="321" fillId="5" borderId="3" xfId="0" applyFont="1" applyFill="1" applyBorder="1" applyAlignment="1">
      <alignment horizontal="center" vertical="top"/>
    </xf>
    <xf numFmtId="0" fontId="322" fillId="5" borderId="3" xfId="0" applyFont="1" applyFill="1" applyBorder="1" applyAlignment="1">
      <alignment horizontal="center" vertical="top"/>
    </xf>
    <xf numFmtId="0" fontId="323" fillId="5" borderId="3" xfId="0" applyFont="1" applyFill="1" applyBorder="1" applyAlignment="1">
      <alignment horizontal="left" vertical="top" wrapText="1"/>
    </xf>
    <xf numFmtId="0" fontId="324" fillId="5" borderId="3" xfId="0" applyFont="1" applyFill="1" applyBorder="1" applyAlignment="1">
      <alignment horizontal="left" vertical="top" wrapText="1"/>
    </xf>
    <xf numFmtId="0" fontId="325" fillId="5" borderId="3" xfId="0" applyFont="1" applyFill="1" applyBorder="1" applyAlignment="1">
      <alignment horizontal="left" vertical="top" wrapText="1"/>
    </xf>
    <xf numFmtId="0" fontId="326" fillId="5" borderId="3" xfId="0" applyFont="1" applyFill="1" applyBorder="1" applyAlignment="1">
      <alignment horizontal="left" vertical="top" wrapText="1"/>
    </xf>
    <xf numFmtId="0" fontId="327" fillId="5" borderId="3" xfId="0" applyFont="1" applyFill="1" applyBorder="1" applyAlignment="1">
      <alignment horizontal="left" vertical="top" wrapText="1"/>
    </xf>
    <xf numFmtId="0" fontId="328" fillId="5" borderId="3" xfId="0" applyFont="1" applyFill="1" applyBorder="1" applyAlignment="1">
      <alignment horizontal="left" vertical="top" wrapText="1"/>
    </xf>
    <xf numFmtId="0" fontId="329" fillId="5" borderId="3" xfId="0" applyFont="1" applyFill="1" applyBorder="1" applyAlignment="1">
      <alignment horizontal="left" vertical="top" wrapText="1"/>
    </xf>
    <xf numFmtId="0" fontId="330" fillId="5" borderId="3" xfId="0" applyFont="1" applyFill="1" applyBorder="1" applyAlignment="1">
      <alignment horizontal="left" vertical="top" wrapText="1"/>
    </xf>
    <xf numFmtId="0" fontId="331" fillId="5" borderId="3" xfId="0" applyFont="1" applyFill="1" applyBorder="1" applyAlignment="1">
      <alignment horizontal="left" vertical="top" wrapText="1"/>
    </xf>
    <xf numFmtId="0" fontId="332" fillId="5" borderId="3" xfId="0" applyFont="1" applyFill="1" applyBorder="1" applyAlignment="1">
      <alignment horizontal="left" vertical="top" wrapText="1"/>
    </xf>
    <xf numFmtId="0" fontId="333" fillId="5" borderId="3" xfId="0" applyFont="1" applyFill="1" applyBorder="1" applyAlignment="1">
      <alignment horizontal="left" vertical="top" wrapText="1"/>
    </xf>
    <xf numFmtId="0" fontId="334" fillId="5" borderId="3" xfId="0" applyFont="1" applyFill="1" applyBorder="1" applyAlignment="1">
      <alignment horizontal="left" vertical="top" wrapText="1"/>
    </xf>
    <xf numFmtId="0" fontId="336" fillId="5" borderId="3" xfId="0" applyFont="1" applyFill="1" applyBorder="1" applyAlignment="1">
      <alignment horizontal="center" vertical="top"/>
    </xf>
    <xf numFmtId="0" fontId="337" fillId="5" borderId="3" xfId="0" applyFont="1" applyFill="1" applyBorder="1" applyAlignment="1">
      <alignment horizontal="center" vertical="top"/>
    </xf>
    <xf numFmtId="0" fontId="384" fillId="5" borderId="3" xfId="0" applyFont="1" applyFill="1" applyBorder="1" applyAlignment="1">
      <alignment horizontal="left" vertical="top" wrapText="1"/>
    </xf>
    <xf numFmtId="0" fontId="385" fillId="5" borderId="3" xfId="0" applyFont="1" applyFill="1" applyBorder="1" applyAlignment="1">
      <alignment horizontal="left" vertical="top" wrapText="1"/>
    </xf>
    <xf numFmtId="0" fontId="386" fillId="5" borderId="3" xfId="0" applyFont="1" applyFill="1" applyBorder="1" applyAlignment="1">
      <alignment horizontal="left" vertical="top" wrapText="1"/>
    </xf>
    <xf numFmtId="0" fontId="387" fillId="5" borderId="3" xfId="0" applyFont="1" applyFill="1" applyBorder="1" applyAlignment="1">
      <alignment horizontal="left" vertical="top" wrapText="1"/>
    </xf>
    <xf numFmtId="0" fontId="388" fillId="5" borderId="3" xfId="0" applyFont="1" applyFill="1" applyBorder="1" applyAlignment="1">
      <alignment horizontal="left" vertical="top" wrapText="1"/>
    </xf>
    <xf numFmtId="0" fontId="389" fillId="5" borderId="3" xfId="0" applyFont="1" applyFill="1" applyBorder="1" applyAlignment="1">
      <alignment horizontal="left" vertical="top" wrapText="1"/>
    </xf>
    <xf numFmtId="0" fontId="390" fillId="5" borderId="3" xfId="0" applyFont="1" applyFill="1" applyBorder="1" applyAlignment="1">
      <alignment horizontal="left" vertical="top" wrapText="1"/>
    </xf>
    <xf numFmtId="0" fontId="391" fillId="5" borderId="3" xfId="0" applyFont="1" applyFill="1" applyBorder="1" applyAlignment="1">
      <alignment horizontal="left" vertical="top" wrapText="1"/>
    </xf>
    <xf numFmtId="0" fontId="392" fillId="5" borderId="3" xfId="0" applyFont="1" applyFill="1" applyBorder="1" applyAlignment="1">
      <alignment horizontal="left" vertical="top" wrapText="1"/>
    </xf>
    <xf numFmtId="0" fontId="393" fillId="5" borderId="3" xfId="0" applyFont="1" applyFill="1" applyBorder="1" applyAlignment="1">
      <alignment horizontal="left" vertical="top" wrapText="1"/>
    </xf>
    <xf numFmtId="0" fontId="394" fillId="5" borderId="3" xfId="0" applyFont="1" applyFill="1" applyBorder="1" applyAlignment="1">
      <alignment horizontal="left" vertical="top" wrapText="1"/>
    </xf>
    <xf numFmtId="0" fontId="395" fillId="5" borderId="3" xfId="0" applyFont="1" applyFill="1" applyBorder="1" applyAlignment="1">
      <alignment horizontal="center" vertical="top"/>
    </xf>
    <xf numFmtId="0" fontId="396" fillId="5" borderId="3" xfId="0" applyFont="1" applyFill="1" applyBorder="1" applyAlignment="1">
      <alignment horizontal="left" vertical="top" wrapText="1"/>
    </xf>
    <xf numFmtId="0" fontId="397" fillId="5" borderId="3" xfId="0" applyFont="1" applyFill="1" applyBorder="1" applyAlignment="1">
      <alignment horizontal="left" vertical="top" wrapText="1"/>
    </xf>
    <xf numFmtId="0" fontId="400" fillId="5" borderId="3" xfId="0" applyFont="1" applyFill="1" applyBorder="1" applyAlignment="1">
      <alignment horizontal="left" vertical="top" wrapText="1"/>
    </xf>
    <xf numFmtId="0" fontId="401" fillId="5" borderId="3" xfId="0" applyFont="1" applyFill="1" applyBorder="1" applyAlignment="1">
      <alignment horizontal="left" vertical="top" wrapText="1"/>
    </xf>
    <xf numFmtId="0" fontId="402" fillId="5" borderId="3" xfId="0" applyFont="1" applyFill="1" applyBorder="1" applyAlignment="1">
      <alignment horizontal="center" vertical="top"/>
    </xf>
    <xf numFmtId="0" fontId="403" fillId="5" borderId="3" xfId="0" applyFont="1" applyFill="1" applyBorder="1" applyAlignment="1">
      <alignment horizontal="center" vertical="top"/>
    </xf>
    <xf numFmtId="0" fontId="404" fillId="5" borderId="3" xfId="0" applyFont="1" applyFill="1" applyBorder="1" applyAlignment="1">
      <alignment horizontal="left" vertical="top" wrapText="1"/>
    </xf>
    <xf numFmtId="0" fontId="405" fillId="5" borderId="3" xfId="0" applyFont="1" applyFill="1" applyBorder="1" applyAlignment="1">
      <alignment horizontal="left" vertical="top" wrapText="1"/>
    </xf>
    <xf numFmtId="0" fontId="406" fillId="5" borderId="3" xfId="0" applyFont="1" applyFill="1" applyBorder="1" applyAlignment="1">
      <alignment horizontal="left" vertical="top" wrapText="1"/>
    </xf>
    <xf numFmtId="0" fontId="407" fillId="5" borderId="3" xfId="0" applyFont="1" applyFill="1" applyBorder="1" applyAlignment="1">
      <alignment horizontal="left" vertical="top" wrapText="1"/>
    </xf>
    <xf numFmtId="0" fontId="408" fillId="5" borderId="3" xfId="0" applyFont="1" applyFill="1" applyBorder="1" applyAlignment="1">
      <alignment horizontal="left" vertical="top" wrapText="1"/>
    </xf>
    <xf numFmtId="0" fontId="409" fillId="5" borderId="3" xfId="0" applyFont="1" applyFill="1" applyBorder="1" applyAlignment="1">
      <alignment horizontal="left" vertical="top" wrapText="1"/>
    </xf>
    <xf numFmtId="0" fontId="410" fillId="5" borderId="3" xfId="0" applyFont="1" applyFill="1" applyBorder="1" applyAlignment="1">
      <alignment horizontal="left" vertical="top" wrapText="1"/>
    </xf>
    <xf numFmtId="0" fontId="411" fillId="5" borderId="3" xfId="0" applyFont="1" applyFill="1" applyBorder="1" applyAlignment="1">
      <alignment horizontal="left" vertical="top" wrapText="1"/>
    </xf>
    <xf numFmtId="0" fontId="412" fillId="5" borderId="3" xfId="0" applyFont="1" applyFill="1" applyBorder="1" applyAlignment="1">
      <alignment horizontal="left" vertical="top" wrapText="1"/>
    </xf>
    <xf numFmtId="0" fontId="413" fillId="5" borderId="3" xfId="0" applyFont="1" applyFill="1" applyBorder="1" applyAlignment="1">
      <alignment horizontal="left" vertical="top" wrapText="1"/>
    </xf>
    <xf numFmtId="0" fontId="414" fillId="5" borderId="3" xfId="0" applyFont="1" applyFill="1" applyBorder="1" applyAlignment="1">
      <alignment horizontal="left" vertical="top" wrapText="1"/>
    </xf>
    <xf numFmtId="0" fontId="415" fillId="5" borderId="3" xfId="0" applyFont="1" applyFill="1" applyBorder="1" applyAlignment="1">
      <alignment horizontal="left" vertical="top" wrapText="1"/>
    </xf>
    <xf numFmtId="0" fontId="416" fillId="5" borderId="3" xfId="0" applyFont="1" applyFill="1" applyBorder="1" applyAlignment="1">
      <alignment horizontal="left" vertical="top" wrapText="1"/>
    </xf>
    <xf numFmtId="0" fontId="417" fillId="5" borderId="3" xfId="0" applyFont="1" applyFill="1" applyBorder="1" applyAlignment="1">
      <alignment horizontal="left" vertical="top" wrapText="1"/>
    </xf>
    <xf numFmtId="0" fontId="418" fillId="5" borderId="3" xfId="0" applyFont="1" applyFill="1" applyBorder="1" applyAlignment="1">
      <alignment horizontal="left" vertical="top" wrapText="1"/>
    </xf>
    <xf numFmtId="0" fontId="419" fillId="5" borderId="3" xfId="0" applyFont="1" applyFill="1" applyBorder="1" applyAlignment="1">
      <alignment horizontal="left" vertical="top" wrapText="1"/>
    </xf>
    <xf numFmtId="0" fontId="420" fillId="5" borderId="3" xfId="0" applyFont="1" applyFill="1" applyBorder="1" applyAlignment="1">
      <alignment horizontal="left" vertical="top" wrapText="1"/>
    </xf>
    <xf numFmtId="0" fontId="421" fillId="5" borderId="3" xfId="0" applyFont="1" applyFill="1" applyBorder="1" applyAlignment="1">
      <alignment horizontal="left" vertical="top" wrapText="1"/>
    </xf>
    <xf numFmtId="0" fontId="424" fillId="5" borderId="3" xfId="0" applyFont="1" applyFill="1" applyBorder="1" applyAlignment="1">
      <alignment horizontal="left" vertical="top" wrapText="1"/>
    </xf>
    <xf numFmtId="0" fontId="425" fillId="5" borderId="3" xfId="0" applyFont="1" applyFill="1" applyBorder="1" applyAlignment="1">
      <alignment horizontal="left" vertical="top" wrapText="1"/>
    </xf>
    <xf numFmtId="0" fontId="426" fillId="5" borderId="3" xfId="0" applyFont="1" applyFill="1" applyBorder="1" applyAlignment="1">
      <alignment horizontal="left" vertical="top" wrapText="1"/>
    </xf>
    <xf numFmtId="0" fontId="427" fillId="5" borderId="3" xfId="0" applyFont="1" applyFill="1" applyBorder="1" applyAlignment="1">
      <alignment horizontal="center" vertical="top"/>
    </xf>
    <xf numFmtId="0" fontId="428" fillId="5" borderId="3" xfId="0" applyFont="1" applyFill="1" applyBorder="1" applyAlignment="1">
      <alignment horizontal="center" vertical="top"/>
    </xf>
    <xf numFmtId="0" fontId="429" fillId="5" borderId="3" xfId="0" applyFont="1" applyFill="1" applyBorder="1" applyAlignment="1">
      <alignment horizontal="center" vertical="top"/>
    </xf>
    <xf numFmtId="0" fontId="430" fillId="5" borderId="3" xfId="0" applyFont="1" applyFill="1" applyBorder="1" applyAlignment="1">
      <alignment horizontal="left" vertical="top" wrapText="1"/>
    </xf>
    <xf numFmtId="0" fontId="431" fillId="5" borderId="3" xfId="0" applyFont="1" applyFill="1" applyBorder="1" applyAlignment="1">
      <alignment horizontal="center" vertical="top"/>
    </xf>
    <xf numFmtId="0" fontId="432" fillId="5" borderId="3" xfId="0" applyFont="1" applyFill="1" applyBorder="1" applyAlignment="1">
      <alignment horizontal="center" vertical="top"/>
    </xf>
    <xf numFmtId="0" fontId="433" fillId="5" borderId="3" xfId="0" applyFont="1" applyFill="1" applyBorder="1" applyAlignment="1">
      <alignment horizontal="left" vertical="top" wrapText="1"/>
    </xf>
    <xf numFmtId="0" fontId="434" fillId="5" borderId="3" xfId="0" applyFont="1" applyFill="1" applyBorder="1" applyAlignment="1">
      <alignment horizontal="left" vertical="top" wrapText="1"/>
    </xf>
    <xf numFmtId="0" fontId="435" fillId="5" borderId="3" xfId="0" applyFont="1" applyFill="1" applyBorder="1" applyAlignment="1">
      <alignment horizontal="left" vertical="top" wrapText="1"/>
    </xf>
    <xf numFmtId="0" fontId="436" fillId="5" borderId="3" xfId="0" applyFont="1" applyFill="1" applyBorder="1" applyAlignment="1">
      <alignment horizontal="left" vertical="top" wrapText="1"/>
    </xf>
    <xf numFmtId="0" fontId="437" fillId="5" borderId="3" xfId="0" applyFont="1" applyFill="1" applyBorder="1" applyAlignment="1">
      <alignment horizontal="left" vertical="top" wrapText="1"/>
    </xf>
    <xf numFmtId="0" fontId="438" fillId="5" borderId="3" xfId="0" applyFont="1" applyFill="1" applyBorder="1" applyAlignment="1">
      <alignment horizontal="left" vertical="top" wrapText="1"/>
    </xf>
    <xf numFmtId="0" fontId="439" fillId="5" borderId="3" xfId="0" applyFont="1" applyFill="1" applyBorder="1" applyAlignment="1">
      <alignment horizontal="center" vertical="top"/>
    </xf>
    <xf numFmtId="0" fontId="440" fillId="5" borderId="3" xfId="0" applyFont="1" applyFill="1" applyBorder="1" applyAlignment="1">
      <alignment horizontal="left" vertical="top" wrapText="1"/>
    </xf>
    <xf numFmtId="0" fontId="441" fillId="5" borderId="3" xfId="0" applyFont="1" applyFill="1" applyBorder="1" applyAlignment="1">
      <alignment horizontal="left" vertical="top" wrapText="1"/>
    </xf>
    <xf numFmtId="0" fontId="442" fillId="5" borderId="3" xfId="0" applyFont="1" applyFill="1" applyBorder="1" applyAlignment="1">
      <alignment horizontal="left" vertical="top" wrapText="1"/>
    </xf>
    <xf numFmtId="0" fontId="443" fillId="5" borderId="3" xfId="0" applyFont="1" applyFill="1" applyBorder="1" applyAlignment="1">
      <alignment horizontal="left" vertical="top" wrapText="1"/>
    </xf>
    <xf numFmtId="0" fontId="444" fillId="5" borderId="3" xfId="0" applyFont="1" applyFill="1" applyBorder="1" applyAlignment="1">
      <alignment horizontal="left" vertical="top" wrapText="1"/>
    </xf>
    <xf numFmtId="0" fontId="445" fillId="5" borderId="3" xfId="0" applyFont="1" applyFill="1" applyBorder="1" applyAlignment="1">
      <alignment horizontal="left" vertical="top" wrapText="1"/>
    </xf>
    <xf numFmtId="0" fontId="446" fillId="5" borderId="3" xfId="0" applyFont="1" applyFill="1" applyBorder="1" applyAlignment="1">
      <alignment horizontal="center" vertical="top"/>
    </xf>
    <xf numFmtId="0" fontId="455" fillId="5" borderId="3" xfId="0" applyFont="1" applyFill="1" applyBorder="1" applyAlignment="1">
      <alignment horizontal="left" vertical="top" wrapText="1"/>
    </xf>
    <xf numFmtId="0" fontId="457" fillId="5" borderId="3" xfId="0" applyFont="1" applyFill="1" applyBorder="1" applyAlignment="1">
      <alignment horizontal="center" vertical="top"/>
    </xf>
    <xf numFmtId="0" fontId="458" fillId="5" borderId="3" xfId="0" applyFont="1" applyFill="1" applyBorder="1" applyAlignment="1">
      <alignment horizontal="left" vertical="top" wrapText="1"/>
    </xf>
    <xf numFmtId="0" fontId="462" fillId="5" borderId="3" xfId="0" applyFont="1" applyFill="1" applyBorder="1" applyAlignment="1">
      <alignment horizontal="left" vertical="top" wrapText="1"/>
    </xf>
    <xf numFmtId="0" fontId="463" fillId="5" borderId="3" xfId="0" applyFont="1" applyFill="1" applyBorder="1" applyAlignment="1">
      <alignment horizontal="left" vertical="top" wrapText="1"/>
    </xf>
    <xf numFmtId="0" fontId="464" fillId="5" borderId="3" xfId="0" applyFont="1" applyFill="1" applyBorder="1" applyAlignment="1">
      <alignment horizontal="left" vertical="top" wrapText="1"/>
    </xf>
    <xf numFmtId="0" fontId="465" fillId="5" borderId="3" xfId="0" applyFont="1" applyFill="1" applyBorder="1" applyAlignment="1">
      <alignment horizontal="left" vertical="top" wrapText="1"/>
    </xf>
    <xf numFmtId="0" fontId="466" fillId="5" borderId="3" xfId="0" applyFont="1" applyFill="1" applyBorder="1" applyAlignment="1">
      <alignment horizontal="left" vertical="top" wrapText="1"/>
    </xf>
    <xf numFmtId="0" fontId="467" fillId="5" borderId="3" xfId="0" applyFont="1" applyFill="1" applyBorder="1" applyAlignment="1">
      <alignment horizontal="left" vertical="top" wrapText="1"/>
    </xf>
    <xf numFmtId="0" fontId="468" fillId="5" borderId="3" xfId="0" applyFont="1" applyFill="1" applyBorder="1" applyAlignment="1">
      <alignment horizontal="left" vertical="top" wrapText="1"/>
    </xf>
    <xf numFmtId="0" fontId="469" fillId="5" borderId="3" xfId="0" applyFont="1" applyFill="1" applyBorder="1" applyAlignment="1">
      <alignment horizontal="center" vertical="top"/>
    </xf>
    <xf numFmtId="0" fontId="470" fillId="5" borderId="3" xfId="0" applyFont="1" applyFill="1" applyBorder="1" applyAlignment="1">
      <alignment horizontal="center" vertical="top"/>
    </xf>
    <xf numFmtId="0" fontId="471" fillId="5" borderId="3" xfId="0" applyFont="1" applyFill="1" applyBorder="1" applyAlignment="1">
      <alignment horizontal="center" vertical="top"/>
    </xf>
    <xf numFmtId="0" fontId="472" fillId="5" borderId="3" xfId="0" applyFont="1" applyFill="1" applyBorder="1" applyAlignment="1">
      <alignment horizontal="center" vertical="top"/>
    </xf>
    <xf numFmtId="0" fontId="473" fillId="5" borderId="3" xfId="0" applyFont="1" applyFill="1" applyBorder="1" applyAlignment="1">
      <alignment horizontal="left" vertical="top" wrapText="1"/>
    </xf>
    <xf numFmtId="0" fontId="474" fillId="5" borderId="3" xfId="0" applyFont="1" applyFill="1" applyBorder="1" applyAlignment="1">
      <alignment horizontal="left" vertical="top" wrapText="1"/>
    </xf>
    <xf numFmtId="0" fontId="475" fillId="5" borderId="3" xfId="0" applyFont="1" applyFill="1" applyBorder="1" applyAlignment="1">
      <alignment horizontal="left" vertical="top" wrapText="1"/>
    </xf>
    <xf numFmtId="0" fontId="481" fillId="5" borderId="3" xfId="0" applyFont="1" applyFill="1" applyBorder="1" applyAlignment="1">
      <alignment horizontal="left" vertical="top" wrapText="1"/>
    </xf>
    <xf numFmtId="0" fontId="482" fillId="5" borderId="3" xfId="0" applyFont="1" applyFill="1" applyBorder="1" applyAlignment="1">
      <alignment horizontal="center" vertical="top"/>
    </xf>
    <xf numFmtId="0" fontId="497" fillId="5" borderId="3" xfId="0" applyFont="1" applyFill="1" applyBorder="1" applyAlignment="1">
      <alignment horizontal="left" vertical="top" wrapText="1"/>
    </xf>
    <xf numFmtId="0" fontId="498" fillId="5" borderId="3" xfId="0" applyFont="1" applyFill="1" applyBorder="1" applyAlignment="1">
      <alignment horizontal="left" vertical="top" wrapText="1"/>
    </xf>
    <xf numFmtId="0" fontId="499" fillId="5" borderId="3" xfId="0" applyFont="1" applyFill="1" applyBorder="1" applyAlignment="1">
      <alignment horizontal="left" vertical="top" wrapText="1"/>
    </xf>
    <xf numFmtId="0" fontId="500" fillId="5" borderId="3" xfId="0" applyFont="1" applyFill="1" applyBorder="1" applyAlignment="1">
      <alignment horizontal="left" vertical="top" wrapText="1"/>
    </xf>
    <xf numFmtId="0" fontId="501" fillId="5" borderId="3" xfId="0" applyFont="1" applyFill="1" applyBorder="1" applyAlignment="1">
      <alignment horizontal="left" vertical="top" wrapText="1"/>
    </xf>
    <xf numFmtId="0" fontId="502" fillId="5" borderId="3" xfId="0" applyFont="1" applyFill="1" applyBorder="1" applyAlignment="1">
      <alignment horizontal="left" vertical="top" wrapText="1"/>
    </xf>
    <xf numFmtId="0" fontId="503" fillId="5" borderId="3" xfId="0" applyFont="1" applyFill="1" applyBorder="1" applyAlignment="1">
      <alignment horizontal="left" vertical="top" wrapText="1"/>
    </xf>
    <xf numFmtId="0" fontId="504" fillId="5" borderId="3" xfId="0" applyFont="1" applyFill="1" applyBorder="1" applyAlignment="1">
      <alignment horizontal="left" vertical="top" wrapText="1"/>
    </xf>
    <xf numFmtId="0" fontId="505" fillId="5" borderId="3" xfId="0" applyFont="1" applyFill="1" applyBorder="1" applyAlignment="1">
      <alignment horizontal="left" vertical="top" wrapText="1"/>
    </xf>
    <xf numFmtId="0" fontId="506" fillId="5" borderId="3" xfId="0" applyFont="1" applyFill="1" applyBorder="1" applyAlignment="1">
      <alignment horizontal="left" vertical="top" wrapText="1"/>
    </xf>
    <xf numFmtId="0" fontId="507" fillId="5" borderId="3" xfId="0" applyFont="1" applyFill="1" applyBorder="1" applyAlignment="1">
      <alignment horizontal="center" vertical="top"/>
    </xf>
    <xf numFmtId="0" fontId="508" fillId="5" borderId="3" xfId="0" applyFont="1" applyFill="1" applyBorder="1" applyAlignment="1">
      <alignment horizontal="left" vertical="top" wrapText="1"/>
    </xf>
    <xf numFmtId="0" fontId="509" fillId="5" borderId="3" xfId="0" applyFont="1" applyFill="1" applyBorder="1" applyAlignment="1">
      <alignment horizontal="left" vertical="top" wrapText="1"/>
    </xf>
    <xf numFmtId="0" fontId="510" fillId="5" borderId="3" xfId="0" applyFont="1" applyFill="1" applyBorder="1" applyAlignment="1">
      <alignment horizontal="left" vertical="top" wrapText="1"/>
    </xf>
    <xf numFmtId="0" fontId="511" fillId="5" borderId="3" xfId="0" applyFont="1" applyFill="1" applyBorder="1" applyAlignment="1">
      <alignment horizontal="left" vertical="top" wrapText="1"/>
    </xf>
    <xf numFmtId="0" fontId="512" fillId="5" borderId="3" xfId="0" applyFont="1" applyFill="1" applyBorder="1" applyAlignment="1">
      <alignment horizontal="left" vertical="top" wrapText="1"/>
    </xf>
    <xf numFmtId="0" fontId="513" fillId="5" borderId="3" xfId="0" applyFont="1" applyFill="1" applyBorder="1" applyAlignment="1">
      <alignment horizontal="center" vertical="top"/>
    </xf>
    <xf numFmtId="0" fontId="514" fillId="5" borderId="3" xfId="0" applyFont="1" applyFill="1" applyBorder="1" applyAlignment="1">
      <alignment horizontal="left" vertical="top" wrapText="1"/>
    </xf>
    <xf numFmtId="0" fontId="515" fillId="5" borderId="3" xfId="0" applyFont="1" applyFill="1" applyBorder="1" applyAlignment="1">
      <alignment horizontal="left" vertical="top" wrapText="1"/>
    </xf>
    <xf numFmtId="0" fontId="516" fillId="5" borderId="3" xfId="0" applyFont="1" applyFill="1" applyBorder="1" applyAlignment="1">
      <alignment horizontal="left" vertical="top" wrapText="1"/>
    </xf>
    <xf numFmtId="0" fontId="517" fillId="5" borderId="3" xfId="0" applyFont="1" applyFill="1" applyBorder="1" applyAlignment="1">
      <alignment horizontal="left" vertical="top" wrapText="1"/>
    </xf>
    <xf numFmtId="0" fontId="518" fillId="5" borderId="3" xfId="0" applyFont="1" applyFill="1" applyBorder="1" applyAlignment="1">
      <alignment horizontal="left" vertical="top" wrapText="1"/>
    </xf>
    <xf numFmtId="0" fontId="519" fillId="5" borderId="3" xfId="0" applyFont="1" applyFill="1" applyBorder="1" applyAlignment="1">
      <alignment horizontal="left" vertical="top" wrapText="1"/>
    </xf>
    <xf numFmtId="0" fontId="520" fillId="5" borderId="3" xfId="0" applyFont="1" applyFill="1" applyBorder="1" applyAlignment="1">
      <alignment horizontal="left" vertical="top" wrapText="1"/>
    </xf>
    <xf numFmtId="0" fontId="521" fillId="5" borderId="3" xfId="0" applyFont="1" applyFill="1" applyBorder="1" applyAlignment="1">
      <alignment horizontal="left" vertical="top" wrapText="1"/>
    </xf>
    <xf numFmtId="0" fontId="522" fillId="5" borderId="3" xfId="0" applyFont="1" applyFill="1" applyBorder="1" applyAlignment="1">
      <alignment horizontal="left" vertical="top" wrapText="1"/>
    </xf>
    <xf numFmtId="0" fontId="523" fillId="5" borderId="3" xfId="0" applyFont="1" applyFill="1" applyBorder="1" applyAlignment="1">
      <alignment horizontal="left" vertical="top" wrapText="1"/>
    </xf>
    <xf numFmtId="0" fontId="524" fillId="5" borderId="3" xfId="0" applyFont="1" applyFill="1" applyBorder="1" applyAlignment="1">
      <alignment horizontal="left" vertical="top" wrapText="1"/>
    </xf>
    <xf numFmtId="0" fontId="525" fillId="5" borderId="3" xfId="0" applyFont="1" applyFill="1" applyBorder="1" applyAlignment="1">
      <alignment horizontal="left" vertical="top" wrapText="1"/>
    </xf>
    <xf numFmtId="0" fontId="526" fillId="5" borderId="3" xfId="0" applyFont="1" applyFill="1" applyBorder="1" applyAlignment="1">
      <alignment horizontal="left" vertical="top" wrapText="1"/>
    </xf>
    <xf numFmtId="0" fontId="527" fillId="5" borderId="3" xfId="0" applyFont="1" applyFill="1" applyBorder="1" applyAlignment="1">
      <alignment horizontal="left" vertical="top" wrapText="1"/>
    </xf>
    <xf numFmtId="0" fontId="528" fillId="5" borderId="3" xfId="0" applyFont="1" applyFill="1" applyBorder="1" applyAlignment="1">
      <alignment horizontal="left" vertical="top" wrapText="1"/>
    </xf>
    <xf numFmtId="0" fontId="529" fillId="5" borderId="3" xfId="0" applyFont="1" applyFill="1" applyBorder="1" applyAlignment="1">
      <alignment horizontal="left" vertical="top" wrapText="1"/>
    </xf>
    <xf numFmtId="0" fontId="530" fillId="5" borderId="3" xfId="0" applyFont="1" applyFill="1" applyBorder="1" applyAlignment="1">
      <alignment horizontal="left" vertical="top" wrapText="1"/>
    </xf>
    <xf numFmtId="0" fontId="531" fillId="5" borderId="3" xfId="0" applyFont="1" applyFill="1" applyBorder="1" applyAlignment="1">
      <alignment horizontal="left" vertical="top" wrapText="1"/>
    </xf>
    <xf numFmtId="0" fontId="532" fillId="5" borderId="3" xfId="0" applyFont="1" applyFill="1" applyBorder="1" applyAlignment="1">
      <alignment horizontal="left" vertical="top" wrapText="1"/>
    </xf>
    <xf numFmtId="0" fontId="533" fillId="5" borderId="3" xfId="0" applyFont="1" applyFill="1" applyBorder="1" applyAlignment="1">
      <alignment horizontal="left" vertical="top" wrapText="1"/>
    </xf>
    <xf numFmtId="0" fontId="534" fillId="5" borderId="3" xfId="0" applyFont="1" applyFill="1" applyBorder="1" applyAlignment="1">
      <alignment horizontal="left" vertical="top" wrapText="1"/>
    </xf>
    <xf numFmtId="0" fontId="535" fillId="5" borderId="3" xfId="0" applyFont="1" applyFill="1" applyBorder="1" applyAlignment="1">
      <alignment horizontal="left" vertical="top" wrapText="1"/>
    </xf>
    <xf numFmtId="0" fontId="536" fillId="5" borderId="3" xfId="0" applyFont="1" applyFill="1" applyBorder="1" applyAlignment="1">
      <alignment horizontal="left" vertical="top" wrapText="1"/>
    </xf>
    <xf numFmtId="0" fontId="537" fillId="5" borderId="3" xfId="0" applyFont="1" applyFill="1" applyBorder="1" applyAlignment="1">
      <alignment horizontal="left" vertical="top" wrapText="1"/>
    </xf>
    <xf numFmtId="0" fontId="538" fillId="5" borderId="3" xfId="0" applyFont="1" applyFill="1" applyBorder="1" applyAlignment="1">
      <alignment horizontal="left" vertical="top" wrapText="1"/>
    </xf>
    <xf numFmtId="0" fontId="539" fillId="5" borderId="3" xfId="0" applyFont="1" applyFill="1" applyBorder="1" applyAlignment="1">
      <alignment horizontal="left" vertical="top" wrapText="1"/>
    </xf>
    <xf numFmtId="0" fontId="540" fillId="5" borderId="3" xfId="0" applyFont="1" applyFill="1" applyBorder="1" applyAlignment="1">
      <alignment horizontal="left" vertical="top" wrapText="1"/>
    </xf>
    <xf numFmtId="0" fontId="541" fillId="5" borderId="3" xfId="0" applyFont="1" applyFill="1" applyBorder="1" applyAlignment="1">
      <alignment horizontal="left" vertical="top" wrapText="1"/>
    </xf>
    <xf numFmtId="0" fontId="542" fillId="5" borderId="3" xfId="0" applyFont="1" applyFill="1" applyBorder="1" applyAlignment="1">
      <alignment horizontal="left" vertical="top" wrapText="1"/>
    </xf>
    <xf numFmtId="0" fontId="543" fillId="5" borderId="3" xfId="0" applyFont="1" applyFill="1" applyBorder="1" applyAlignment="1">
      <alignment horizontal="left" vertical="top" wrapText="1"/>
    </xf>
    <xf numFmtId="0" fontId="544" fillId="5" borderId="3" xfId="0" applyFont="1" applyFill="1" applyBorder="1" applyAlignment="1">
      <alignment horizontal="left" vertical="top" wrapText="1"/>
    </xf>
    <xf numFmtId="0" fontId="545" fillId="5" borderId="3" xfId="0" applyFont="1" applyFill="1" applyBorder="1" applyAlignment="1">
      <alignment horizontal="left" vertical="top" wrapText="1"/>
    </xf>
    <xf numFmtId="0" fontId="546" fillId="5" borderId="3" xfId="0" applyFont="1" applyFill="1" applyBorder="1" applyAlignment="1">
      <alignment horizontal="left" vertical="top" wrapText="1"/>
    </xf>
    <xf numFmtId="0" fontId="547" fillId="5" borderId="3" xfId="0" applyFont="1" applyFill="1" applyBorder="1" applyAlignment="1">
      <alignment horizontal="left" vertical="top" wrapText="1"/>
    </xf>
    <xf numFmtId="0" fontId="548" fillId="5" borderId="3" xfId="0" applyFont="1" applyFill="1" applyBorder="1" applyAlignment="1">
      <alignment horizontal="left" vertical="top" wrapText="1"/>
    </xf>
    <xf numFmtId="0" fontId="549" fillId="5" borderId="3" xfId="0" applyFont="1" applyFill="1" applyBorder="1" applyAlignment="1">
      <alignment horizontal="left" vertical="top" wrapText="1"/>
    </xf>
    <xf numFmtId="0" fontId="550" fillId="5" borderId="3" xfId="0" applyFont="1" applyFill="1" applyBorder="1" applyAlignment="1">
      <alignment horizontal="left" vertical="top" wrapText="1"/>
    </xf>
    <xf numFmtId="0" fontId="551" fillId="5" borderId="3" xfId="0" applyFont="1" applyFill="1" applyBorder="1" applyAlignment="1">
      <alignment horizontal="left" vertical="top" wrapText="1"/>
    </xf>
    <xf numFmtId="0" fontId="552" fillId="5" borderId="3" xfId="0" applyFont="1" applyFill="1" applyBorder="1" applyAlignment="1">
      <alignment horizontal="left" vertical="top" wrapText="1"/>
    </xf>
    <xf numFmtId="0" fontId="553" fillId="5" borderId="3" xfId="0" applyFont="1" applyFill="1" applyBorder="1" applyAlignment="1">
      <alignment horizontal="left" vertical="top" wrapText="1"/>
    </xf>
    <xf numFmtId="0" fontId="554" fillId="5" borderId="3" xfId="0" applyFont="1" applyFill="1" applyBorder="1" applyAlignment="1">
      <alignment horizontal="left" vertical="top" wrapText="1"/>
    </xf>
    <xf numFmtId="0" fontId="555" fillId="5" borderId="3" xfId="0" applyFont="1" applyFill="1" applyBorder="1" applyAlignment="1">
      <alignment horizontal="left" vertical="top" wrapText="1"/>
    </xf>
    <xf numFmtId="0" fontId="556" fillId="5" borderId="3" xfId="0" applyFont="1" applyFill="1" applyBorder="1" applyAlignment="1">
      <alignment horizontal="left" vertical="top" wrapText="1"/>
    </xf>
    <xf numFmtId="0" fontId="557" fillId="5" borderId="3" xfId="0" applyFont="1" applyFill="1" applyBorder="1" applyAlignment="1">
      <alignment horizontal="left" vertical="top" wrapText="1"/>
    </xf>
    <xf numFmtId="0" fontId="558" fillId="5" borderId="3" xfId="0" applyFont="1" applyFill="1" applyBorder="1" applyAlignment="1">
      <alignment horizontal="left" vertical="top" wrapText="1"/>
    </xf>
    <xf numFmtId="0" fontId="559" fillId="5" borderId="3" xfId="0" applyFont="1" applyFill="1" applyBorder="1" applyAlignment="1">
      <alignment horizontal="left" vertical="top" wrapText="1"/>
    </xf>
    <xf numFmtId="0" fontId="560" fillId="5" borderId="3" xfId="0" applyFont="1" applyFill="1" applyBorder="1" applyAlignment="1">
      <alignment horizontal="left" vertical="top" wrapText="1"/>
    </xf>
    <xf numFmtId="0" fontId="561" fillId="5" borderId="3" xfId="0" applyFont="1" applyFill="1" applyBorder="1" applyAlignment="1">
      <alignment horizontal="left" vertical="top" wrapText="1"/>
    </xf>
    <xf numFmtId="0" fontId="562" fillId="5" borderId="3" xfId="0" applyFont="1" applyFill="1" applyBorder="1" applyAlignment="1">
      <alignment horizontal="left" vertical="top" wrapText="1"/>
    </xf>
    <xf numFmtId="0" fontId="563" fillId="5" borderId="3" xfId="0" applyFont="1" applyFill="1" applyBorder="1" applyAlignment="1">
      <alignment horizontal="center" vertical="top"/>
    </xf>
    <xf numFmtId="0" fontId="564" fillId="5" borderId="3" xfId="0" applyFont="1" applyFill="1" applyBorder="1" applyAlignment="1">
      <alignment horizontal="left" vertical="top" wrapText="1"/>
    </xf>
    <xf numFmtId="0" fontId="565" fillId="5" borderId="3" xfId="0" applyFont="1" applyFill="1" applyBorder="1" applyAlignment="1">
      <alignment horizontal="left" vertical="top" wrapText="1"/>
    </xf>
    <xf numFmtId="0" fontId="567" fillId="5" borderId="3" xfId="0" applyFont="1" applyFill="1" applyBorder="1" applyAlignment="1">
      <alignment horizontal="left" vertical="top" wrapText="1"/>
    </xf>
    <xf numFmtId="0" fontId="568" fillId="5" borderId="3" xfId="0" applyFont="1" applyFill="1" applyBorder="1" applyAlignment="1">
      <alignment horizontal="left" vertical="top" wrapText="1"/>
    </xf>
    <xf numFmtId="0" fontId="569" fillId="5" borderId="3" xfId="0" applyFont="1" applyFill="1" applyBorder="1" applyAlignment="1">
      <alignment horizontal="left" vertical="top" wrapText="1"/>
    </xf>
    <xf numFmtId="0" fontId="570" fillId="5" borderId="3" xfId="0" applyFont="1" applyFill="1" applyBorder="1" applyAlignment="1">
      <alignment horizontal="left" vertical="top" wrapText="1"/>
    </xf>
    <xf numFmtId="0" fontId="571" fillId="5" borderId="3" xfId="0" applyFont="1" applyFill="1" applyBorder="1" applyAlignment="1">
      <alignment horizontal="left" vertical="top" wrapText="1"/>
    </xf>
    <xf numFmtId="0" fontId="585" fillId="5" borderId="3" xfId="0" applyFont="1" applyFill="1" applyBorder="1" applyAlignment="1">
      <alignment horizontal="center" vertical="top"/>
    </xf>
    <xf numFmtId="0" fontId="586" fillId="5" borderId="3" xfId="0" applyFont="1" applyFill="1" applyBorder="1" applyAlignment="1">
      <alignment horizontal="center" vertical="top"/>
    </xf>
    <xf numFmtId="0" fontId="590" fillId="5" borderId="3" xfId="0" applyFont="1" applyFill="1" applyBorder="1" applyAlignment="1">
      <alignment horizontal="left" vertical="top" wrapText="1"/>
    </xf>
    <xf numFmtId="0" fontId="591" fillId="5" borderId="3" xfId="0" applyFont="1" applyFill="1" applyBorder="1" applyAlignment="1">
      <alignment horizontal="left" vertical="top" wrapText="1"/>
    </xf>
    <xf numFmtId="0" fontId="592" fillId="5" borderId="3" xfId="0" applyFont="1" applyFill="1" applyBorder="1" applyAlignment="1">
      <alignment horizontal="left" vertical="top" wrapText="1"/>
    </xf>
    <xf numFmtId="0" fontId="593" fillId="5" borderId="3" xfId="0" applyFont="1" applyFill="1" applyBorder="1" applyAlignment="1">
      <alignment horizontal="left" vertical="top" wrapText="1"/>
    </xf>
    <xf numFmtId="0" fontId="594" fillId="5" borderId="3" xfId="0" applyFont="1" applyFill="1" applyBorder="1" applyAlignment="1">
      <alignment horizontal="left" vertical="top" wrapText="1"/>
    </xf>
    <xf numFmtId="0" fontId="595" fillId="5" borderId="3" xfId="0" applyFont="1" applyFill="1" applyBorder="1" applyAlignment="1">
      <alignment horizontal="left" vertical="top" wrapText="1"/>
    </xf>
    <xf numFmtId="0" fontId="596" fillId="5" borderId="3" xfId="0" applyFont="1" applyFill="1" applyBorder="1" applyAlignment="1">
      <alignment horizontal="left" vertical="top" wrapText="1"/>
    </xf>
    <xf numFmtId="0" fontId="597" fillId="5" borderId="3" xfId="0" applyFont="1" applyFill="1" applyBorder="1" applyAlignment="1">
      <alignment horizontal="left" vertical="top" wrapText="1"/>
    </xf>
    <xf numFmtId="0" fontId="598" fillId="5" borderId="3" xfId="0" applyFont="1" applyFill="1" applyBorder="1" applyAlignment="1">
      <alignment horizontal="left" vertical="top" wrapText="1"/>
    </xf>
    <xf numFmtId="0" fontId="599" fillId="5" borderId="3" xfId="0" applyFont="1" applyFill="1" applyBorder="1" applyAlignment="1">
      <alignment horizontal="left" vertical="top" wrapText="1"/>
    </xf>
    <xf numFmtId="0" fontId="600" fillId="5" borderId="3" xfId="0" applyFont="1" applyFill="1" applyBorder="1" applyAlignment="1">
      <alignment horizontal="left" vertical="top" wrapText="1"/>
    </xf>
    <xf numFmtId="0" fontId="601" fillId="5" borderId="3" xfId="0" applyFont="1" applyFill="1" applyBorder="1" applyAlignment="1">
      <alignment horizontal="left" vertical="top" wrapText="1"/>
    </xf>
    <xf numFmtId="0" fontId="602" fillId="5" borderId="3" xfId="0" applyFont="1" applyFill="1" applyBorder="1" applyAlignment="1">
      <alignment horizontal="left" vertical="top" wrapText="1"/>
    </xf>
    <xf numFmtId="0" fontId="603" fillId="5" borderId="3" xfId="0" applyFont="1" applyFill="1" applyBorder="1" applyAlignment="1">
      <alignment horizontal="left" vertical="top" wrapText="1"/>
    </xf>
    <xf numFmtId="0" fontId="604" fillId="5" borderId="3" xfId="0" applyFont="1" applyFill="1" applyBorder="1" applyAlignment="1">
      <alignment horizontal="left" vertical="top" wrapText="1"/>
    </xf>
    <xf numFmtId="0" fontId="605" fillId="5" borderId="3" xfId="0" applyFont="1" applyFill="1" applyBorder="1" applyAlignment="1">
      <alignment horizontal="left" vertical="top" wrapText="1"/>
    </xf>
    <xf numFmtId="0" fontId="606" fillId="5" borderId="3" xfId="0" applyFont="1" applyFill="1" applyBorder="1" applyAlignment="1">
      <alignment horizontal="center" vertical="top"/>
    </xf>
    <xf numFmtId="0" fontId="607" fillId="5" borderId="3" xfId="0" applyFont="1" applyFill="1" applyBorder="1" applyAlignment="1">
      <alignment horizontal="center" vertical="top"/>
    </xf>
    <xf numFmtId="0" fontId="608" fillId="5" borderId="3" xfId="0" applyFont="1" applyFill="1" applyBorder="1" applyAlignment="1">
      <alignment horizontal="center" vertical="top"/>
    </xf>
    <xf numFmtId="0" fontId="609" fillId="5" borderId="3" xfId="0" applyFont="1" applyFill="1" applyBorder="1" applyAlignment="1">
      <alignment horizontal="center" vertical="top"/>
    </xf>
    <xf numFmtId="0" fontId="610" fillId="5" borderId="3" xfId="0" applyFont="1" applyFill="1" applyBorder="1" applyAlignment="1">
      <alignment horizontal="center" vertical="top"/>
    </xf>
    <xf numFmtId="0" fontId="611" fillId="5" borderId="3" xfId="0" applyFont="1" applyFill="1" applyBorder="1" applyAlignment="1">
      <alignment horizontal="center" vertical="top"/>
    </xf>
    <xf numFmtId="0" fontId="612" fillId="5" borderId="3" xfId="0" applyFont="1" applyFill="1" applyBorder="1" applyAlignment="1">
      <alignment horizontal="center" vertical="top"/>
    </xf>
    <xf numFmtId="0" fontId="613" fillId="5" borderId="3" xfId="0" applyFont="1" applyFill="1" applyBorder="1" applyAlignment="1">
      <alignment horizontal="center" vertical="top"/>
    </xf>
    <xf numFmtId="0" fontId="614" fillId="5" borderId="3" xfId="0" applyFont="1" applyFill="1" applyBorder="1" applyAlignment="1">
      <alignment horizontal="center" vertical="top"/>
    </xf>
    <xf numFmtId="0" fontId="615" fillId="5" borderId="3" xfId="0" applyFont="1" applyFill="1" applyBorder="1" applyAlignment="1">
      <alignment horizontal="center" vertical="top"/>
    </xf>
    <xf numFmtId="0" fontId="616" fillId="5" borderId="3" xfId="0" applyFont="1" applyFill="1" applyBorder="1" applyAlignment="1">
      <alignment horizontal="center" vertical="top"/>
    </xf>
    <xf numFmtId="0" fontId="617" fillId="5" borderId="3" xfId="0" applyFont="1" applyFill="1" applyBorder="1" applyAlignment="1">
      <alignment horizontal="center" vertical="top"/>
    </xf>
    <xf numFmtId="0" fontId="618" fillId="5" borderId="3" xfId="0" applyFont="1" applyFill="1" applyBorder="1" applyAlignment="1">
      <alignment horizontal="center" vertical="top"/>
    </xf>
    <xf numFmtId="0" fontId="619" fillId="5" borderId="3" xfId="0" applyFont="1" applyFill="1" applyBorder="1" applyAlignment="1">
      <alignment horizontal="center" vertical="top"/>
    </xf>
    <xf numFmtId="0" fontId="620" fillId="5" borderId="3" xfId="0" applyFont="1" applyFill="1" applyBorder="1" applyAlignment="1">
      <alignment horizontal="center" vertical="top"/>
    </xf>
    <xf numFmtId="0" fontId="621" fillId="5" borderId="3" xfId="0" applyFont="1" applyFill="1" applyBorder="1" applyAlignment="1">
      <alignment horizontal="center" vertical="top"/>
    </xf>
    <xf numFmtId="0" fontId="622" fillId="5" borderId="3" xfId="0" applyFont="1" applyFill="1" applyBorder="1" applyAlignment="1">
      <alignment horizontal="center" vertical="top"/>
    </xf>
    <xf numFmtId="0" fontId="623" fillId="5" borderId="3" xfId="0" applyFont="1" applyFill="1" applyBorder="1" applyAlignment="1">
      <alignment horizontal="center" vertical="top"/>
    </xf>
    <xf numFmtId="0" fontId="624" fillId="5" borderId="3" xfId="0" applyFont="1" applyFill="1" applyBorder="1" applyAlignment="1">
      <alignment horizontal="center" vertical="top"/>
    </xf>
    <xf numFmtId="0" fontId="625" fillId="5" borderId="3" xfId="0" applyFont="1" applyFill="1" applyBorder="1" applyAlignment="1">
      <alignment horizontal="center" vertical="top"/>
    </xf>
    <xf numFmtId="0" fontId="626" fillId="5" borderId="3" xfId="0" applyFont="1" applyFill="1" applyBorder="1" applyAlignment="1">
      <alignment horizontal="center" vertical="top"/>
    </xf>
    <xf numFmtId="0" fontId="627" fillId="5" borderId="3" xfId="0" applyFont="1" applyFill="1" applyBorder="1" applyAlignment="1">
      <alignment horizontal="center" vertical="top"/>
    </xf>
    <xf numFmtId="0" fontId="628" fillId="5" borderId="3" xfId="0" applyFont="1" applyFill="1" applyBorder="1" applyAlignment="1">
      <alignment horizontal="center" vertical="top"/>
    </xf>
    <xf numFmtId="0" fontId="629" fillId="5" borderId="3" xfId="0" applyFont="1" applyFill="1" applyBorder="1" applyAlignment="1">
      <alignment horizontal="center" vertical="top"/>
    </xf>
    <xf numFmtId="0" fontId="630" fillId="5" borderId="3" xfId="0" applyFont="1" applyFill="1" applyBorder="1" applyAlignment="1">
      <alignment horizontal="center" vertical="top"/>
    </xf>
    <xf numFmtId="0" fontId="631" fillId="5" borderId="3" xfId="0" applyFont="1" applyFill="1" applyBorder="1" applyAlignment="1">
      <alignment horizontal="center" vertical="top"/>
    </xf>
    <xf numFmtId="0" fontId="632" fillId="5" borderId="3" xfId="0" applyFont="1" applyFill="1" applyBorder="1" applyAlignment="1">
      <alignment horizontal="center" vertical="top"/>
    </xf>
    <xf numFmtId="0" fontId="633" fillId="5" borderId="3" xfId="0" applyFont="1" applyFill="1" applyBorder="1" applyAlignment="1">
      <alignment horizontal="center" vertical="top"/>
    </xf>
    <xf numFmtId="0" fontId="634" fillId="5" borderId="3" xfId="0" applyFont="1" applyFill="1" applyBorder="1" applyAlignment="1">
      <alignment horizontal="center" vertical="top"/>
    </xf>
    <xf numFmtId="0" fontId="635" fillId="5" borderId="3" xfId="0" applyFont="1" applyFill="1" applyBorder="1" applyAlignment="1">
      <alignment horizontal="center" vertical="top"/>
    </xf>
    <xf numFmtId="0" fontId="636" fillId="5" borderId="3" xfId="0" applyFont="1" applyFill="1" applyBorder="1" applyAlignment="1">
      <alignment horizontal="center" vertical="top"/>
    </xf>
    <xf numFmtId="0" fontId="637" fillId="5" borderId="3" xfId="0" applyFont="1" applyFill="1" applyBorder="1" applyAlignment="1">
      <alignment horizontal="center" vertical="top"/>
    </xf>
    <xf numFmtId="0" fontId="638" fillId="5" borderId="3" xfId="0" applyFont="1" applyFill="1" applyBorder="1" applyAlignment="1">
      <alignment horizontal="center" vertical="top"/>
    </xf>
    <xf numFmtId="0" fontId="639" fillId="5" borderId="3" xfId="0" applyFont="1" applyFill="1" applyBorder="1" applyAlignment="1">
      <alignment horizontal="center" vertical="top"/>
    </xf>
    <xf numFmtId="0" fontId="640" fillId="5" borderId="3" xfId="0" applyFont="1" applyFill="1" applyBorder="1" applyAlignment="1">
      <alignment horizontal="left" vertical="top" wrapText="1"/>
    </xf>
    <xf numFmtId="0" fontId="641" fillId="5" borderId="3" xfId="0" applyFont="1" applyFill="1" applyBorder="1" applyAlignment="1">
      <alignment horizontal="center" vertical="top"/>
    </xf>
    <xf numFmtId="0" fontId="642" fillId="5" borderId="3" xfId="0" applyFont="1" applyFill="1" applyBorder="1" applyAlignment="1">
      <alignment horizontal="center" vertical="top"/>
    </xf>
    <xf numFmtId="0" fontId="668" fillId="5" borderId="3" xfId="0" applyFont="1" applyFill="1" applyBorder="1" applyAlignment="1">
      <alignment horizontal="center" vertical="top"/>
    </xf>
    <xf numFmtId="0" fontId="669" fillId="5" borderId="3" xfId="0" applyFont="1" applyFill="1" applyBorder="1" applyAlignment="1">
      <alignment horizontal="center" vertical="top"/>
    </xf>
    <xf numFmtId="0" fontId="670" fillId="5" borderId="3" xfId="0" applyFont="1" applyFill="1" applyBorder="1" applyAlignment="1">
      <alignment horizontal="center" vertical="top"/>
    </xf>
    <xf numFmtId="0" fontId="671" fillId="5" borderId="3" xfId="0" applyFont="1" applyFill="1" applyBorder="1" applyAlignment="1">
      <alignment horizontal="center" vertical="top"/>
    </xf>
    <xf numFmtId="0" fontId="683" fillId="5" borderId="3" xfId="0" applyFont="1" applyFill="1" applyBorder="1" applyAlignment="1">
      <alignment horizontal="left" vertical="top" wrapText="1"/>
    </xf>
    <xf numFmtId="0" fontId="684" fillId="5" borderId="3" xfId="0" applyFont="1" applyFill="1" applyBorder="1" applyAlignment="1">
      <alignment horizontal="left" vertical="top" wrapText="1"/>
    </xf>
    <xf numFmtId="0" fontId="685" fillId="5" borderId="3" xfId="0" applyFont="1" applyFill="1" applyBorder="1" applyAlignment="1">
      <alignment horizontal="left" vertical="top" wrapText="1"/>
    </xf>
    <xf numFmtId="0" fontId="686" fillId="5" borderId="3" xfId="0" applyFont="1" applyFill="1" applyBorder="1" applyAlignment="1">
      <alignment horizontal="left" vertical="top" wrapText="1"/>
    </xf>
    <xf numFmtId="0" fontId="687" fillId="5" borderId="3" xfId="0" applyFont="1" applyFill="1" applyBorder="1" applyAlignment="1">
      <alignment horizontal="left" vertical="top" wrapText="1"/>
    </xf>
    <xf numFmtId="0" fontId="688" fillId="5" borderId="3" xfId="0" applyFont="1" applyFill="1" applyBorder="1" applyAlignment="1">
      <alignment horizontal="left" vertical="top" wrapText="1"/>
    </xf>
    <xf numFmtId="0" fontId="689" fillId="5" borderId="3" xfId="0" applyFont="1" applyFill="1" applyBorder="1" applyAlignment="1">
      <alignment horizontal="left" vertical="top" wrapText="1"/>
    </xf>
    <xf numFmtId="0" fontId="690" fillId="5" borderId="3" xfId="0" applyFont="1" applyFill="1" applyBorder="1" applyAlignment="1">
      <alignment horizontal="left" vertical="top" wrapText="1"/>
    </xf>
    <xf numFmtId="0" fontId="696" fillId="5" borderId="3" xfId="0" applyFont="1" applyFill="1" applyBorder="1" applyAlignment="1">
      <alignment horizontal="center" vertical="top"/>
    </xf>
    <xf numFmtId="0" fontId="697" fillId="5" borderId="3" xfId="0" applyFont="1" applyFill="1" applyBorder="1" applyAlignment="1">
      <alignment horizontal="center" vertical="top"/>
    </xf>
    <xf numFmtId="0" fontId="698" fillId="5" borderId="3" xfId="0" applyFont="1" applyFill="1" applyBorder="1" applyAlignment="1">
      <alignment horizontal="center" vertical="top"/>
    </xf>
    <xf numFmtId="0" fontId="699" fillId="5" borderId="3" xfId="0" applyFont="1" applyFill="1" applyBorder="1" applyAlignment="1">
      <alignment horizontal="center" vertical="top"/>
    </xf>
    <xf numFmtId="0" fontId="700" fillId="5" borderId="3" xfId="0" applyFont="1" applyFill="1" applyBorder="1" applyAlignment="1">
      <alignment horizontal="center" vertical="top"/>
    </xf>
    <xf numFmtId="0" fontId="701" fillId="5" borderId="3" xfId="0" applyFont="1" applyFill="1" applyBorder="1" applyAlignment="1">
      <alignment horizontal="center" vertical="top"/>
    </xf>
    <xf numFmtId="0" fontId="702" fillId="5" borderId="3" xfId="0" applyFont="1" applyFill="1" applyBorder="1" applyAlignment="1">
      <alignment horizontal="center" vertical="top"/>
    </xf>
    <xf numFmtId="49" fontId="0" fillId="0" borderId="0" xfId="0" applyNumberFormat="1"/>
    <xf numFmtId="0" fontId="703" fillId="3" borderId="3" xfId="0" applyFont="1" applyFill="1" applyBorder="1" applyAlignment="1">
      <alignment horizontal="left" vertical="top" wrapText="1"/>
    </xf>
    <xf numFmtId="0" fontId="705" fillId="4" borderId="3" xfId="0" applyFont="1" applyFill="1" applyBorder="1" applyAlignment="1">
      <alignment horizontal="center" vertical="top" wrapText="1"/>
    </xf>
    <xf numFmtId="0" fontId="706" fillId="5" borderId="3" xfId="0" applyFont="1" applyFill="1" applyBorder="1" applyAlignment="1">
      <alignment horizontal="center" vertical="top"/>
    </xf>
    <xf numFmtId="0" fontId="707" fillId="5" borderId="3" xfId="0" applyFont="1" applyFill="1" applyBorder="1" applyAlignment="1">
      <alignment horizontal="center" vertical="top"/>
    </xf>
    <xf numFmtId="0" fontId="708" fillId="5" borderId="3" xfId="0" applyFont="1" applyFill="1" applyBorder="1" applyAlignment="1">
      <alignment horizontal="center" vertical="top"/>
    </xf>
    <xf numFmtId="0" fontId="709" fillId="5" borderId="3" xfId="0" applyFont="1" applyFill="1" applyBorder="1" applyAlignment="1">
      <alignment horizontal="center" vertical="top"/>
    </xf>
    <xf numFmtId="0" fontId="710" fillId="5" borderId="3" xfId="0" applyFont="1" applyFill="1" applyBorder="1" applyAlignment="1">
      <alignment horizontal="center" vertical="top"/>
    </xf>
    <xf numFmtId="0" fontId="711" fillId="5" borderId="3" xfId="0" applyFont="1" applyFill="1" applyBorder="1" applyAlignment="1">
      <alignment horizontal="center" vertical="top"/>
    </xf>
    <xf numFmtId="0" fontId="712" fillId="5" borderId="3" xfId="0" applyFont="1" applyFill="1" applyBorder="1" applyAlignment="1">
      <alignment horizontal="center" vertical="top"/>
    </xf>
    <xf numFmtId="0" fontId="713" fillId="5" borderId="3" xfId="0" applyFont="1" applyFill="1" applyBorder="1" applyAlignment="1">
      <alignment horizontal="center" vertical="top"/>
    </xf>
    <xf numFmtId="0" fontId="714" fillId="5" borderId="3" xfId="0" applyFont="1" applyFill="1" applyBorder="1" applyAlignment="1">
      <alignment horizontal="center" vertical="top"/>
    </xf>
    <xf numFmtId="0" fontId="715" fillId="5" borderId="3" xfId="0" applyFont="1" applyFill="1" applyBorder="1" applyAlignment="1">
      <alignment horizontal="left" vertical="top" wrapText="1"/>
    </xf>
    <xf numFmtId="0" fontId="716" fillId="5" borderId="3" xfId="0" applyFont="1" applyFill="1" applyBorder="1" applyAlignment="1">
      <alignment horizontal="left" vertical="top" wrapText="1"/>
    </xf>
    <xf numFmtId="0" fontId="717" fillId="5" borderId="3" xfId="0" applyFont="1" applyFill="1" applyBorder="1" applyAlignment="1">
      <alignment horizontal="left" vertical="top" wrapText="1"/>
    </xf>
    <xf numFmtId="0" fontId="718" fillId="5" borderId="3" xfId="0" applyFont="1" applyFill="1" applyBorder="1" applyAlignment="1">
      <alignment horizontal="left" vertical="top" wrapText="1"/>
    </xf>
    <xf numFmtId="0" fontId="719" fillId="5" borderId="3" xfId="0" applyFont="1" applyFill="1" applyBorder="1" applyAlignment="1">
      <alignment horizontal="left" vertical="top" wrapText="1"/>
    </xf>
    <xf numFmtId="0" fontId="720" fillId="5" borderId="3" xfId="0" applyFont="1" applyFill="1" applyBorder="1" applyAlignment="1">
      <alignment horizontal="left" vertical="top" wrapText="1"/>
    </xf>
    <xf numFmtId="0" fontId="721" fillId="5" borderId="3" xfId="0" applyFont="1" applyFill="1" applyBorder="1" applyAlignment="1">
      <alignment horizontal="left" vertical="top" wrapText="1"/>
    </xf>
    <xf numFmtId="0" fontId="733" fillId="5" borderId="3" xfId="0" applyFont="1" applyFill="1" applyBorder="1" applyAlignment="1">
      <alignment horizontal="left" vertical="top" wrapText="1"/>
    </xf>
    <xf numFmtId="0" fontId="734" fillId="5" borderId="3" xfId="0" applyFont="1" applyFill="1" applyBorder="1" applyAlignment="1">
      <alignment horizontal="left" vertical="top" wrapText="1"/>
    </xf>
    <xf numFmtId="0" fontId="735" fillId="5" borderId="3" xfId="0" applyFont="1" applyFill="1" applyBorder="1" applyAlignment="1">
      <alignment horizontal="left" vertical="top" wrapText="1"/>
    </xf>
    <xf numFmtId="0" fontId="736" fillId="5" borderId="3" xfId="0" applyFont="1" applyFill="1" applyBorder="1" applyAlignment="1">
      <alignment horizontal="left" vertical="top" wrapText="1"/>
    </xf>
    <xf numFmtId="0" fontId="737" fillId="5" borderId="3" xfId="0" applyFont="1" applyFill="1" applyBorder="1" applyAlignment="1">
      <alignment horizontal="left" vertical="top" wrapText="1"/>
    </xf>
    <xf numFmtId="0" fontId="750" fillId="5" borderId="3" xfId="0" applyFont="1" applyFill="1" applyBorder="1" applyAlignment="1">
      <alignment horizontal="left" vertical="top" wrapText="1"/>
    </xf>
    <xf numFmtId="0" fontId="754" fillId="5" borderId="3" xfId="0" applyFont="1" applyFill="1" applyBorder="1" applyAlignment="1">
      <alignment horizontal="left" vertical="top" wrapText="1"/>
    </xf>
    <xf numFmtId="0" fontId="755" fillId="5" borderId="3" xfId="0" applyFont="1" applyFill="1" applyBorder="1" applyAlignment="1">
      <alignment horizontal="left" vertical="top" wrapText="1"/>
    </xf>
    <xf numFmtId="0" fontId="766" fillId="5" borderId="3" xfId="0" applyFont="1" applyFill="1" applyBorder="1" applyAlignment="1">
      <alignment horizontal="left" vertical="top" wrapText="1"/>
    </xf>
    <xf numFmtId="0" fontId="767" fillId="5" borderId="3" xfId="0" applyFont="1" applyFill="1" applyBorder="1" applyAlignment="1">
      <alignment horizontal="left" vertical="top" wrapText="1"/>
    </xf>
    <xf numFmtId="0" fontId="768" fillId="5" borderId="3" xfId="0" applyFont="1" applyFill="1" applyBorder="1" applyAlignment="1">
      <alignment horizontal="left" vertical="top" wrapText="1"/>
    </xf>
    <xf numFmtId="0" fontId="769" fillId="5" borderId="3" xfId="0" applyFont="1" applyFill="1" applyBorder="1" applyAlignment="1">
      <alignment horizontal="left" vertical="top" wrapText="1"/>
    </xf>
    <xf numFmtId="0" fontId="770" fillId="5" borderId="3" xfId="0" applyFont="1" applyFill="1" applyBorder="1" applyAlignment="1">
      <alignment horizontal="left" vertical="top" wrapText="1"/>
    </xf>
    <xf numFmtId="0" fontId="771" fillId="5" borderId="3" xfId="0" applyFont="1" applyFill="1" applyBorder="1" applyAlignment="1">
      <alignment horizontal="left" vertical="top" wrapText="1"/>
    </xf>
    <xf numFmtId="0" fontId="772" fillId="5" borderId="3" xfId="0" applyFont="1" applyFill="1" applyBorder="1" applyAlignment="1">
      <alignment horizontal="left" vertical="top" wrapText="1"/>
    </xf>
    <xf numFmtId="0" fontId="773" fillId="5" borderId="3" xfId="0" applyFont="1" applyFill="1" applyBorder="1" applyAlignment="1">
      <alignment horizontal="left" vertical="top" wrapText="1"/>
    </xf>
    <xf numFmtId="0" fontId="774" fillId="5" borderId="3" xfId="0" applyFont="1" applyFill="1" applyBorder="1" applyAlignment="1">
      <alignment horizontal="left" vertical="top" wrapText="1"/>
    </xf>
    <xf numFmtId="0" fontId="775" fillId="5" borderId="3" xfId="0" applyFont="1" applyFill="1" applyBorder="1" applyAlignment="1">
      <alignment horizontal="left" vertical="top" wrapText="1"/>
    </xf>
    <xf numFmtId="0" fontId="776" fillId="5" borderId="3" xfId="0" applyFont="1" applyFill="1" applyBorder="1" applyAlignment="1">
      <alignment horizontal="left" vertical="top" wrapText="1"/>
    </xf>
    <xf numFmtId="0" fontId="777" fillId="5" borderId="3" xfId="0" applyFont="1" applyFill="1" applyBorder="1" applyAlignment="1">
      <alignment horizontal="left" vertical="top" wrapText="1"/>
    </xf>
    <xf numFmtId="0" fontId="778" fillId="5" borderId="3" xfId="0" applyFont="1" applyFill="1" applyBorder="1" applyAlignment="1">
      <alignment horizontal="left" vertical="top" wrapText="1"/>
    </xf>
    <xf numFmtId="0" fontId="779" fillId="5" borderId="3" xfId="0" applyFont="1" applyFill="1" applyBorder="1" applyAlignment="1">
      <alignment horizontal="left" vertical="top" wrapText="1"/>
    </xf>
    <xf numFmtId="0" fontId="780" fillId="5" borderId="3" xfId="0" applyFont="1" applyFill="1" applyBorder="1" applyAlignment="1">
      <alignment horizontal="left" vertical="top" wrapText="1"/>
    </xf>
    <xf numFmtId="0" fontId="781" fillId="5" borderId="3" xfId="0" applyFont="1" applyFill="1" applyBorder="1" applyAlignment="1">
      <alignment horizontal="left" vertical="top" wrapText="1"/>
    </xf>
    <xf numFmtId="0" fontId="782" fillId="5" borderId="3" xfId="0" applyFont="1" applyFill="1" applyBorder="1" applyAlignment="1">
      <alignment horizontal="left" vertical="top" wrapText="1"/>
    </xf>
    <xf numFmtId="0" fontId="783" fillId="5" borderId="3" xfId="0" applyFont="1" applyFill="1" applyBorder="1" applyAlignment="1">
      <alignment horizontal="left" vertical="top" wrapText="1"/>
    </xf>
    <xf numFmtId="0" fontId="784" fillId="5" borderId="3" xfId="0" applyFont="1" applyFill="1" applyBorder="1" applyAlignment="1">
      <alignment horizontal="left" vertical="top" wrapText="1"/>
    </xf>
    <xf numFmtId="0" fontId="785" fillId="5" borderId="3" xfId="0" applyFont="1" applyFill="1" applyBorder="1" applyAlignment="1">
      <alignment horizontal="left" vertical="top" wrapText="1"/>
    </xf>
    <xf numFmtId="0" fontId="786" fillId="5" borderId="3" xfId="0" applyFont="1" applyFill="1" applyBorder="1" applyAlignment="1">
      <alignment horizontal="left" vertical="top" wrapText="1"/>
    </xf>
    <xf numFmtId="0" fontId="787" fillId="5" borderId="3" xfId="0" applyFont="1" applyFill="1" applyBorder="1" applyAlignment="1">
      <alignment horizontal="left" vertical="top" wrapText="1"/>
    </xf>
    <xf numFmtId="0" fontId="788" fillId="5" borderId="3" xfId="0" applyFont="1" applyFill="1" applyBorder="1" applyAlignment="1">
      <alignment horizontal="left" vertical="top" wrapText="1"/>
    </xf>
    <xf numFmtId="0" fontId="790" fillId="5" borderId="3" xfId="0" applyFont="1" applyFill="1" applyBorder="1" applyAlignment="1">
      <alignment horizontal="left" vertical="top" wrapText="1"/>
    </xf>
    <xf numFmtId="0" fontId="791" fillId="5" borderId="3" xfId="0" applyFont="1" applyFill="1" applyBorder="1" applyAlignment="1">
      <alignment horizontal="left" vertical="top" wrapText="1"/>
    </xf>
    <xf numFmtId="0" fontId="792" fillId="5" borderId="3" xfId="0" applyFont="1" applyFill="1" applyBorder="1" applyAlignment="1">
      <alignment horizontal="left" vertical="top" wrapText="1"/>
    </xf>
    <xf numFmtId="0" fontId="793" fillId="5" borderId="3" xfId="0" applyFont="1" applyFill="1" applyBorder="1" applyAlignment="1">
      <alignment horizontal="left" vertical="top" wrapText="1"/>
    </xf>
    <xf numFmtId="0" fontId="794" fillId="5" borderId="3" xfId="0" applyFont="1" applyFill="1" applyBorder="1" applyAlignment="1">
      <alignment horizontal="left" vertical="top" wrapText="1"/>
    </xf>
    <xf numFmtId="0" fontId="795" fillId="5" borderId="3" xfId="0" applyFont="1" applyFill="1" applyBorder="1" applyAlignment="1">
      <alignment horizontal="left" vertical="top" wrapText="1"/>
    </xf>
    <xf numFmtId="0" fontId="796" fillId="5" borderId="3" xfId="0" applyFont="1" applyFill="1" applyBorder="1" applyAlignment="1">
      <alignment horizontal="center" vertical="top"/>
    </xf>
    <xf numFmtId="0" fontId="797" fillId="5" borderId="3" xfId="0" applyFont="1" applyFill="1" applyBorder="1" applyAlignment="1">
      <alignment horizontal="center" vertical="top"/>
    </xf>
    <xf numFmtId="0" fontId="798" fillId="5" borderId="3" xfId="0" applyFont="1" applyFill="1" applyBorder="1" applyAlignment="1">
      <alignment horizontal="center" vertical="top"/>
    </xf>
    <xf numFmtId="0" fontId="799" fillId="5" borderId="3" xfId="0" applyFont="1" applyFill="1" applyBorder="1" applyAlignment="1">
      <alignment horizontal="center" vertical="top"/>
    </xf>
    <xf numFmtId="0" fontId="800" fillId="5" borderId="3" xfId="0" applyFont="1" applyFill="1" applyBorder="1" applyAlignment="1">
      <alignment horizontal="center" vertical="top"/>
    </xf>
    <xf numFmtId="0" fontId="801" fillId="5" borderId="3" xfId="0" applyFont="1" applyFill="1" applyBorder="1" applyAlignment="1">
      <alignment horizontal="center" vertical="top"/>
    </xf>
    <xf numFmtId="0" fontId="802" fillId="5" borderId="3" xfId="0" applyFont="1" applyFill="1" applyBorder="1" applyAlignment="1">
      <alignment horizontal="center" vertical="top"/>
    </xf>
    <xf numFmtId="0" fontId="813" fillId="5" borderId="3" xfId="0" applyFont="1" applyFill="1" applyBorder="1" applyAlignment="1">
      <alignment horizontal="left" vertical="top" wrapText="1"/>
    </xf>
    <xf numFmtId="0" fontId="814" fillId="5" borderId="3" xfId="0" applyFont="1" applyFill="1" applyBorder="1" applyAlignment="1">
      <alignment horizontal="left" vertical="top" wrapText="1"/>
    </xf>
    <xf numFmtId="0" fontId="815" fillId="5" borderId="3" xfId="0" applyFont="1" applyFill="1" applyBorder="1" applyAlignment="1">
      <alignment horizontal="left" vertical="top" wrapText="1"/>
    </xf>
    <xf numFmtId="0" fontId="829" fillId="5" borderId="3" xfId="0" applyFont="1" applyFill="1" applyBorder="1" applyAlignment="1">
      <alignment horizontal="left" vertical="top" wrapText="1"/>
    </xf>
    <xf numFmtId="0" fontId="830" fillId="5" borderId="3" xfId="0" applyFont="1" applyFill="1" applyBorder="1" applyAlignment="1">
      <alignment horizontal="left" vertical="top" wrapText="1"/>
    </xf>
    <xf numFmtId="0" fontId="831" fillId="5" borderId="3" xfId="0" applyFont="1" applyFill="1" applyBorder="1" applyAlignment="1">
      <alignment horizontal="left" vertical="top" wrapText="1"/>
    </xf>
    <xf numFmtId="0" fontId="832" fillId="5" borderId="3" xfId="0" applyFont="1" applyFill="1" applyBorder="1" applyAlignment="1">
      <alignment horizontal="left" vertical="top" wrapText="1"/>
    </xf>
    <xf numFmtId="0" fontId="833" fillId="5" borderId="3" xfId="0" applyFont="1" applyFill="1" applyBorder="1" applyAlignment="1">
      <alignment horizontal="left" vertical="top" wrapText="1"/>
    </xf>
    <xf numFmtId="0" fontId="834" fillId="5" borderId="3" xfId="0" applyFont="1" applyFill="1" applyBorder="1" applyAlignment="1">
      <alignment horizontal="left" vertical="top" wrapText="1"/>
    </xf>
    <xf numFmtId="0" fontId="835" fillId="5" borderId="3" xfId="0" applyFont="1" applyFill="1" applyBorder="1" applyAlignment="1">
      <alignment horizontal="left" vertical="top" wrapText="1"/>
    </xf>
    <xf numFmtId="0" fontId="836" fillId="5" borderId="3" xfId="0" applyFont="1" applyFill="1" applyBorder="1" applyAlignment="1">
      <alignment horizontal="left" vertical="top" wrapText="1"/>
    </xf>
    <xf numFmtId="0" fontId="837" fillId="5" borderId="3" xfId="0" applyFont="1" applyFill="1" applyBorder="1" applyAlignment="1">
      <alignment horizontal="left" vertical="top" wrapText="1"/>
    </xf>
    <xf numFmtId="0" fontId="838" fillId="5" borderId="3" xfId="0" applyFont="1" applyFill="1" applyBorder="1" applyAlignment="1">
      <alignment horizontal="left" vertical="top" wrapText="1"/>
    </xf>
    <xf numFmtId="0" fontId="839" fillId="5" borderId="3" xfId="0" applyFont="1" applyFill="1" applyBorder="1" applyAlignment="1">
      <alignment horizontal="left" vertical="top" wrapText="1"/>
    </xf>
    <xf numFmtId="0" fontId="840" fillId="5" borderId="3" xfId="0" applyFont="1" applyFill="1" applyBorder="1" applyAlignment="1">
      <alignment horizontal="left" vertical="top" wrapText="1"/>
    </xf>
    <xf numFmtId="0" fontId="841" fillId="5" borderId="3" xfId="0" applyFont="1" applyFill="1" applyBorder="1" applyAlignment="1">
      <alignment horizontal="left" vertical="top" wrapText="1"/>
    </xf>
    <xf numFmtId="0" fontId="842" fillId="5" borderId="3" xfId="0" applyFont="1" applyFill="1" applyBorder="1" applyAlignment="1">
      <alignment horizontal="left" vertical="top" wrapText="1"/>
    </xf>
    <xf numFmtId="0" fontId="843" fillId="5" borderId="3" xfId="0" applyFont="1" applyFill="1" applyBorder="1" applyAlignment="1">
      <alignment horizontal="left" vertical="top" wrapText="1"/>
    </xf>
    <xf numFmtId="0" fontId="844" fillId="5" borderId="3" xfId="0" applyFont="1" applyFill="1" applyBorder="1" applyAlignment="1">
      <alignment horizontal="left" vertical="top" wrapText="1"/>
    </xf>
    <xf numFmtId="0" fontId="845" fillId="5" borderId="3" xfId="0" applyFont="1" applyFill="1" applyBorder="1" applyAlignment="1">
      <alignment horizontal="left" vertical="top" wrapText="1"/>
    </xf>
    <xf numFmtId="0" fontId="846" fillId="5" borderId="3" xfId="0" applyFont="1" applyFill="1" applyBorder="1" applyAlignment="1">
      <alignment horizontal="left" vertical="top" wrapText="1"/>
    </xf>
    <xf numFmtId="0" fontId="847" fillId="5" borderId="3" xfId="0" applyFont="1" applyFill="1" applyBorder="1" applyAlignment="1">
      <alignment horizontal="left" vertical="top" wrapText="1"/>
    </xf>
    <xf numFmtId="0" fontId="848" fillId="5" borderId="3" xfId="0" applyFont="1" applyFill="1" applyBorder="1" applyAlignment="1">
      <alignment horizontal="left" vertical="top" wrapText="1"/>
    </xf>
    <xf numFmtId="0" fontId="849" fillId="5" borderId="3" xfId="0" applyFont="1" applyFill="1" applyBorder="1" applyAlignment="1">
      <alignment horizontal="left" vertical="top" wrapText="1"/>
    </xf>
    <xf numFmtId="0" fontId="850" fillId="5" borderId="3" xfId="0" applyFont="1" applyFill="1" applyBorder="1" applyAlignment="1">
      <alignment horizontal="left" vertical="top" wrapText="1"/>
    </xf>
    <xf numFmtId="0" fontId="851" fillId="5" borderId="3" xfId="0" applyFont="1" applyFill="1" applyBorder="1" applyAlignment="1">
      <alignment horizontal="left" vertical="top" wrapText="1"/>
    </xf>
    <xf numFmtId="0" fontId="852" fillId="5" borderId="3" xfId="0" applyFont="1" applyFill="1" applyBorder="1" applyAlignment="1">
      <alignment horizontal="left" vertical="top" wrapText="1"/>
    </xf>
    <xf numFmtId="0" fontId="853" fillId="5" borderId="3" xfId="0" applyFont="1" applyFill="1" applyBorder="1" applyAlignment="1">
      <alignment horizontal="left" vertical="top" wrapText="1"/>
    </xf>
    <xf numFmtId="0" fontId="854" fillId="5" borderId="3" xfId="0" applyFont="1" applyFill="1" applyBorder="1" applyAlignment="1">
      <alignment horizontal="left" vertical="top" wrapText="1"/>
    </xf>
    <xf numFmtId="0" fontId="855" fillId="5" borderId="3" xfId="0" applyFont="1" applyFill="1" applyBorder="1" applyAlignment="1">
      <alignment horizontal="left" vertical="top" wrapText="1"/>
    </xf>
    <xf numFmtId="0" fontId="856" fillId="5" borderId="3" xfId="0" applyFont="1" applyFill="1" applyBorder="1" applyAlignment="1">
      <alignment horizontal="left" vertical="top" wrapText="1"/>
    </xf>
    <xf numFmtId="0" fontId="857" fillId="5" borderId="3" xfId="0" applyFont="1" applyFill="1" applyBorder="1" applyAlignment="1">
      <alignment horizontal="left" vertical="top" wrapText="1"/>
    </xf>
    <xf numFmtId="0" fontId="858" fillId="5" borderId="3" xfId="0" applyFont="1" applyFill="1" applyBorder="1" applyAlignment="1">
      <alignment horizontal="left" vertical="top" wrapText="1"/>
    </xf>
    <xf numFmtId="0" fontId="859" fillId="5" borderId="3" xfId="0" applyFont="1" applyFill="1" applyBorder="1" applyAlignment="1">
      <alignment horizontal="left" vertical="top" wrapText="1"/>
    </xf>
    <xf numFmtId="0" fontId="860" fillId="5" borderId="3" xfId="0" applyFont="1" applyFill="1" applyBorder="1" applyAlignment="1">
      <alignment horizontal="left" vertical="top" wrapText="1"/>
    </xf>
    <xf numFmtId="0" fontId="867" fillId="5" borderId="3" xfId="0" applyFont="1" applyFill="1" applyBorder="1" applyAlignment="1">
      <alignment horizontal="left" vertical="top" wrapText="1"/>
    </xf>
    <xf numFmtId="0" fontId="868" fillId="5" borderId="3" xfId="0" applyFont="1" applyFill="1" applyBorder="1" applyAlignment="1">
      <alignment horizontal="center" vertical="top"/>
    </xf>
    <xf numFmtId="0" fontId="869" fillId="5" borderId="3" xfId="0" applyFont="1" applyFill="1" applyBorder="1" applyAlignment="1">
      <alignment horizontal="center" vertical="top"/>
    </xf>
    <xf numFmtId="0" fontId="870" fillId="5" borderId="3" xfId="0" applyFont="1" applyFill="1" applyBorder="1" applyAlignment="1">
      <alignment horizontal="center" vertical="top"/>
    </xf>
    <xf numFmtId="0" fontId="871" fillId="5" borderId="3" xfId="0" applyFont="1" applyFill="1" applyBorder="1" applyAlignment="1">
      <alignment horizontal="center" vertical="top"/>
    </xf>
    <xf numFmtId="0" fontId="872" fillId="5" borderId="3" xfId="0" applyFont="1" applyFill="1" applyBorder="1" applyAlignment="1">
      <alignment horizontal="left" vertical="top" wrapText="1"/>
    </xf>
    <xf numFmtId="0" fontId="873" fillId="5" borderId="3" xfId="0" applyFont="1" applyFill="1" applyBorder="1" applyAlignment="1">
      <alignment horizontal="center" vertical="top"/>
    </xf>
    <xf numFmtId="0" fontId="874" fillId="5" borderId="3" xfId="0" applyFont="1" applyFill="1" applyBorder="1" applyAlignment="1">
      <alignment horizontal="center" vertical="top"/>
    </xf>
    <xf numFmtId="0" fontId="875" fillId="5" borderId="3" xfId="0" applyFont="1" applyFill="1" applyBorder="1" applyAlignment="1">
      <alignment horizontal="center" vertical="top"/>
    </xf>
    <xf numFmtId="0" fontId="876" fillId="5" borderId="3" xfId="0" applyFont="1" applyFill="1" applyBorder="1" applyAlignment="1">
      <alignment horizontal="left" vertical="top" wrapText="1"/>
    </xf>
    <xf numFmtId="0" fontId="877" fillId="5" borderId="3" xfId="0" applyFont="1" applyFill="1" applyBorder="1" applyAlignment="1">
      <alignment horizontal="center" vertical="top"/>
    </xf>
    <xf numFmtId="0" fontId="878" fillId="5" borderId="3" xfId="0" applyFont="1" applyFill="1" applyBorder="1" applyAlignment="1">
      <alignment horizontal="center" vertical="top"/>
    </xf>
    <xf numFmtId="0" fontId="879" fillId="5" borderId="3" xfId="0" applyFont="1" applyFill="1" applyBorder="1" applyAlignment="1">
      <alignment horizontal="center" vertical="top"/>
    </xf>
    <xf numFmtId="0" fontId="880" fillId="5" borderId="3" xfId="0" applyFont="1" applyFill="1" applyBorder="1" applyAlignment="1">
      <alignment horizontal="center" vertical="top"/>
    </xf>
    <xf numFmtId="0" fontId="881" fillId="5" borderId="3" xfId="0" applyFont="1" applyFill="1" applyBorder="1" applyAlignment="1">
      <alignment horizontal="center" vertical="top"/>
    </xf>
    <xf numFmtId="0" fontId="882" fillId="5" borderId="3" xfId="0" applyFont="1" applyFill="1" applyBorder="1" applyAlignment="1">
      <alignment horizontal="center" vertical="top"/>
    </xf>
    <xf numFmtId="0" fontId="883" fillId="5" borderId="3" xfId="0" applyFont="1" applyFill="1" applyBorder="1" applyAlignment="1">
      <alignment horizontal="left" vertical="top" wrapText="1"/>
    </xf>
    <xf numFmtId="0" fontId="884" fillId="5" borderId="3" xfId="0" applyFont="1" applyFill="1" applyBorder="1" applyAlignment="1">
      <alignment horizontal="left" vertical="top" wrapText="1"/>
    </xf>
    <xf numFmtId="0" fontId="885" fillId="5" borderId="3" xfId="0" applyFont="1" applyFill="1" applyBorder="1" applyAlignment="1">
      <alignment horizontal="left" vertical="top" wrapText="1"/>
    </xf>
    <xf numFmtId="0" fontId="886" fillId="5" borderId="3" xfId="0" applyFont="1" applyFill="1" applyBorder="1" applyAlignment="1">
      <alignment horizontal="left" vertical="top" wrapText="1"/>
    </xf>
    <xf numFmtId="0" fontId="887" fillId="5" borderId="3" xfId="0" applyFont="1" applyFill="1" applyBorder="1" applyAlignment="1">
      <alignment horizontal="left" vertical="top" wrapText="1"/>
    </xf>
    <xf numFmtId="0" fontId="888" fillId="5" borderId="3" xfId="0" applyFont="1" applyFill="1" applyBorder="1" applyAlignment="1">
      <alignment horizontal="left" vertical="top" wrapText="1"/>
    </xf>
    <xf numFmtId="0" fontId="889" fillId="5" borderId="3" xfId="0" applyFont="1" applyFill="1" applyBorder="1" applyAlignment="1">
      <alignment horizontal="center" vertical="top"/>
    </xf>
    <xf numFmtId="0" fontId="890" fillId="5" borderId="3" xfId="0" applyFont="1" applyFill="1" applyBorder="1" applyAlignment="1">
      <alignment horizontal="center" vertical="top"/>
    </xf>
    <xf numFmtId="0" fontId="891" fillId="5" borderId="3" xfId="0" applyFont="1" applyFill="1" applyBorder="1" applyAlignment="1">
      <alignment horizontal="center" vertical="top"/>
    </xf>
    <xf numFmtId="0" fontId="892" fillId="5" borderId="3" xfId="0" applyFont="1" applyFill="1" applyBorder="1" applyAlignment="1">
      <alignment horizontal="center" vertical="top"/>
    </xf>
    <xf numFmtId="0" fontId="893" fillId="5" borderId="3" xfId="0" applyFont="1" applyFill="1" applyBorder="1" applyAlignment="1">
      <alignment horizontal="center" vertical="top"/>
    </xf>
    <xf numFmtId="0" fontId="894" fillId="5" borderId="3" xfId="0" applyFont="1" applyFill="1" applyBorder="1" applyAlignment="1">
      <alignment horizontal="center" vertical="top"/>
    </xf>
    <xf numFmtId="0" fontId="895" fillId="5" borderId="3" xfId="0" applyFont="1" applyFill="1" applyBorder="1" applyAlignment="1">
      <alignment horizontal="left" vertical="top" wrapText="1"/>
    </xf>
    <xf numFmtId="0" fontId="896" fillId="5" borderId="3" xfId="0" applyFont="1" applyFill="1" applyBorder="1" applyAlignment="1">
      <alignment horizontal="left" vertical="top" wrapText="1"/>
    </xf>
    <xf numFmtId="0" fontId="897" fillId="5" borderId="3" xfId="0" applyFont="1" applyFill="1" applyBorder="1" applyAlignment="1">
      <alignment horizontal="left" vertical="top" wrapText="1"/>
    </xf>
    <xf numFmtId="0" fontId="915" fillId="5" borderId="3" xfId="0" applyFont="1" applyFill="1" applyBorder="1" applyAlignment="1">
      <alignment horizontal="left" vertical="top" wrapText="1"/>
    </xf>
    <xf numFmtId="0" fontId="917" fillId="5" borderId="3" xfId="0" applyFont="1" applyFill="1" applyBorder="1" applyAlignment="1">
      <alignment horizontal="center" vertical="top"/>
    </xf>
    <xf numFmtId="0" fontId="918" fillId="5" borderId="3" xfId="0" applyFont="1" applyFill="1" applyBorder="1" applyAlignment="1">
      <alignment horizontal="center" vertical="top"/>
    </xf>
    <xf numFmtId="0" fontId="919" fillId="5" borderId="3" xfId="0" applyFont="1" applyFill="1" applyBorder="1" applyAlignment="1">
      <alignment horizontal="center" vertical="top"/>
    </xf>
    <xf numFmtId="0" fontId="920" fillId="5" borderId="3" xfId="0" applyFont="1" applyFill="1" applyBorder="1" applyAlignment="1">
      <alignment horizontal="center" vertical="top"/>
    </xf>
    <xf numFmtId="0" fontId="921" fillId="5" borderId="3" xfId="0" applyFont="1" applyFill="1" applyBorder="1" applyAlignment="1">
      <alignment horizontal="center" vertical="top"/>
    </xf>
    <xf numFmtId="0" fontId="922" fillId="5" borderId="3" xfId="0" applyFont="1" applyFill="1" applyBorder="1" applyAlignment="1">
      <alignment horizontal="center" vertical="top"/>
    </xf>
    <xf numFmtId="0" fontId="923" fillId="5" borderId="3" xfId="0" applyFont="1" applyFill="1" applyBorder="1" applyAlignment="1">
      <alignment horizontal="center" vertical="top"/>
    </xf>
    <xf numFmtId="0" fontId="924" fillId="5" borderId="3" xfId="0" applyFont="1" applyFill="1" applyBorder="1" applyAlignment="1">
      <alignment horizontal="center" vertical="top"/>
    </xf>
    <xf numFmtId="0" fontId="925" fillId="5" borderId="3" xfId="0" applyFont="1" applyFill="1" applyBorder="1" applyAlignment="1">
      <alignment horizontal="left" vertical="top" wrapText="1"/>
    </xf>
    <xf numFmtId="0" fontId="926" fillId="5" borderId="3" xfId="0" applyFont="1" applyFill="1" applyBorder="1" applyAlignment="1">
      <alignment horizontal="center" vertical="top"/>
    </xf>
    <xf numFmtId="0" fontId="927" fillId="5" borderId="3" xfId="0" applyFont="1" applyFill="1" applyBorder="1" applyAlignment="1">
      <alignment horizontal="left" vertical="top" wrapText="1"/>
    </xf>
    <xf numFmtId="0" fontId="928" fillId="5" borderId="3" xfId="0" applyFont="1" applyFill="1" applyBorder="1" applyAlignment="1">
      <alignment horizontal="left" vertical="top" wrapText="1"/>
    </xf>
    <xf numFmtId="0" fontId="929" fillId="5" borderId="3" xfId="0" applyFont="1" applyFill="1" applyBorder="1" applyAlignment="1">
      <alignment horizontal="center" vertical="top"/>
    </xf>
    <xf numFmtId="0" fontId="930" fillId="5" borderId="3" xfId="0" applyFont="1" applyFill="1" applyBorder="1" applyAlignment="1">
      <alignment horizontal="center" vertical="top"/>
    </xf>
    <xf numFmtId="0" fontId="931" fillId="5" borderId="3" xfId="0" applyFont="1" applyFill="1" applyBorder="1" applyAlignment="1">
      <alignment horizontal="left" vertical="top" wrapText="1"/>
    </xf>
    <xf numFmtId="0" fontId="932" fillId="5" borderId="3" xfId="0" applyFont="1" applyFill="1" applyBorder="1" applyAlignment="1">
      <alignment horizontal="center" vertical="top"/>
    </xf>
    <xf numFmtId="0" fontId="933" fillId="5" borderId="3" xfId="0" applyFont="1" applyFill="1" applyBorder="1" applyAlignment="1">
      <alignment horizontal="center" vertical="top"/>
    </xf>
    <xf numFmtId="0" fontId="934" fillId="3" borderId="3" xfId="0" applyFont="1" applyFill="1" applyBorder="1" applyAlignment="1">
      <alignment horizontal="left" vertical="top" wrapText="1"/>
    </xf>
    <xf numFmtId="0" fontId="937" fillId="4" borderId="3" xfId="0" applyFont="1" applyFill="1" applyBorder="1" applyAlignment="1">
      <alignment horizontal="center" vertical="top" wrapText="1"/>
    </xf>
    <xf numFmtId="0" fontId="938" fillId="5" borderId="3" xfId="0" applyFont="1" applyFill="1" applyBorder="1" applyAlignment="1">
      <alignment horizontal="left" vertical="top" wrapText="1"/>
    </xf>
    <xf numFmtId="0" fontId="939" fillId="5" borderId="3" xfId="0" applyFont="1" applyFill="1" applyBorder="1" applyAlignment="1">
      <alignment horizontal="left" vertical="top" wrapText="1"/>
    </xf>
    <xf numFmtId="0" fontId="940" fillId="5" borderId="3" xfId="0" applyFont="1" applyFill="1" applyBorder="1" applyAlignment="1">
      <alignment horizontal="left" vertical="top" wrapText="1"/>
    </xf>
    <xf numFmtId="0" fontId="941" fillId="5" borderId="3" xfId="0" applyFont="1" applyFill="1" applyBorder="1" applyAlignment="1">
      <alignment horizontal="center" vertical="top"/>
    </xf>
    <xf numFmtId="0" fontId="942" fillId="5" borderId="3" xfId="0" applyFont="1" applyFill="1" applyBorder="1" applyAlignment="1">
      <alignment horizontal="center" vertical="top"/>
    </xf>
    <xf numFmtId="0" fontId="943" fillId="5" borderId="3" xfId="0" applyFont="1" applyFill="1" applyBorder="1" applyAlignment="1">
      <alignment horizontal="center" vertical="top"/>
    </xf>
    <xf numFmtId="0" fontId="944" fillId="5" borderId="3" xfId="0" applyFont="1" applyFill="1" applyBorder="1" applyAlignment="1">
      <alignment horizontal="center" vertical="top"/>
    </xf>
    <xf numFmtId="0" fontId="945" fillId="5" borderId="3" xfId="0" applyFont="1" applyFill="1" applyBorder="1" applyAlignment="1">
      <alignment horizontal="center" vertical="top"/>
    </xf>
    <xf numFmtId="0" fontId="946" fillId="5" borderId="3" xfId="0" applyFont="1" applyFill="1" applyBorder="1" applyAlignment="1">
      <alignment horizontal="center" vertical="top"/>
    </xf>
    <xf numFmtId="0" fontId="947" fillId="5" borderId="3" xfId="0" applyFont="1" applyFill="1" applyBorder="1" applyAlignment="1">
      <alignment horizontal="center" vertical="top"/>
    </xf>
    <xf numFmtId="0" fontId="948" fillId="5" borderId="3" xfId="0" applyFont="1" applyFill="1" applyBorder="1" applyAlignment="1">
      <alignment horizontal="center" vertical="top"/>
    </xf>
    <xf numFmtId="0" fontId="949" fillId="5" borderId="3" xfId="0" applyFont="1" applyFill="1" applyBorder="1" applyAlignment="1">
      <alignment horizontal="center" vertical="top"/>
    </xf>
    <xf numFmtId="0" fontId="950" fillId="5" borderId="3" xfId="0" applyFont="1" applyFill="1" applyBorder="1" applyAlignment="1">
      <alignment horizontal="center" vertical="top"/>
    </xf>
    <xf numFmtId="0" fontId="951" fillId="5" borderId="3" xfId="0" applyFont="1" applyFill="1" applyBorder="1" applyAlignment="1">
      <alignment horizontal="center" vertical="top"/>
    </xf>
    <xf numFmtId="0" fontId="952" fillId="5" borderId="3" xfId="0" applyFont="1" applyFill="1" applyBorder="1" applyAlignment="1">
      <alignment horizontal="center" vertical="top"/>
    </xf>
    <xf numFmtId="0" fontId="953" fillId="5" borderId="3" xfId="0" applyFont="1" applyFill="1" applyBorder="1" applyAlignment="1">
      <alignment horizontal="center" vertical="top"/>
    </xf>
    <xf numFmtId="0" fontId="954" fillId="5" borderId="3" xfId="0" applyFont="1" applyFill="1" applyBorder="1" applyAlignment="1">
      <alignment horizontal="center" vertical="top"/>
    </xf>
    <xf numFmtId="0" fontId="955" fillId="5" borderId="3" xfId="0" applyFont="1" applyFill="1" applyBorder="1" applyAlignment="1">
      <alignment horizontal="center" vertical="top"/>
    </xf>
    <xf numFmtId="0" fontId="956" fillId="5" borderId="3" xfId="0" applyFont="1" applyFill="1" applyBorder="1" applyAlignment="1">
      <alignment horizontal="center" vertical="top"/>
    </xf>
    <xf numFmtId="0" fontId="957" fillId="5" borderId="3" xfId="0" applyFont="1" applyFill="1" applyBorder="1" applyAlignment="1">
      <alignment horizontal="center" vertical="top"/>
    </xf>
    <xf numFmtId="0" fontId="958" fillId="5" borderId="3" xfId="0" applyFont="1" applyFill="1" applyBorder="1" applyAlignment="1">
      <alignment horizontal="left" vertical="top" wrapText="1"/>
    </xf>
    <xf numFmtId="0" fontId="959" fillId="5" borderId="3" xfId="0" applyFont="1" applyFill="1" applyBorder="1" applyAlignment="1">
      <alignment horizontal="left" vertical="top" wrapText="1"/>
    </xf>
    <xf numFmtId="0" fontId="960" fillId="5" borderId="3" xfId="0" applyFont="1" applyFill="1" applyBorder="1" applyAlignment="1">
      <alignment horizontal="left" vertical="top" wrapText="1"/>
    </xf>
    <xf numFmtId="0" fontId="961" fillId="5" borderId="3" xfId="0" applyFont="1" applyFill="1" applyBorder="1" applyAlignment="1">
      <alignment horizontal="left" vertical="top" wrapText="1"/>
    </xf>
    <xf numFmtId="0" fontId="962" fillId="5" borderId="3" xfId="0" applyFont="1" applyFill="1" applyBorder="1" applyAlignment="1">
      <alignment horizontal="left" vertical="top" wrapText="1"/>
    </xf>
    <xf numFmtId="0" fontId="964" fillId="5" borderId="3" xfId="0" applyFont="1" applyFill="1" applyBorder="1" applyAlignment="1">
      <alignment horizontal="left" vertical="top" wrapText="1"/>
    </xf>
    <xf numFmtId="0" fontId="1019" fillId="5" borderId="3" xfId="0" applyFont="1" applyFill="1" applyBorder="1" applyAlignment="1">
      <alignment horizontal="left" vertical="top" wrapText="1"/>
    </xf>
    <xf numFmtId="0" fontId="1020" fillId="5" borderId="3" xfId="0" applyFont="1" applyFill="1" applyBorder="1" applyAlignment="1">
      <alignment horizontal="left" vertical="top" wrapText="1"/>
    </xf>
    <xf numFmtId="0" fontId="1021" fillId="5" borderId="3" xfId="0" applyFont="1" applyFill="1" applyBorder="1" applyAlignment="1">
      <alignment horizontal="left" vertical="top" wrapText="1"/>
    </xf>
    <xf numFmtId="0" fontId="1022" fillId="5" borderId="3" xfId="0" applyFont="1" applyFill="1" applyBorder="1" applyAlignment="1">
      <alignment horizontal="left" vertical="top" wrapText="1"/>
    </xf>
    <xf numFmtId="0" fontId="1023" fillId="5" borderId="3" xfId="0" applyFont="1" applyFill="1" applyBorder="1" applyAlignment="1">
      <alignment horizontal="left" vertical="top" wrapText="1"/>
    </xf>
    <xf numFmtId="0" fontId="1024" fillId="5" borderId="3" xfId="0" applyFont="1" applyFill="1" applyBorder="1" applyAlignment="1">
      <alignment horizontal="left" vertical="top" wrapText="1"/>
    </xf>
    <xf numFmtId="0" fontId="1025" fillId="5" borderId="3" xfId="0" applyFont="1" applyFill="1" applyBorder="1" applyAlignment="1">
      <alignment horizontal="left" vertical="top" wrapText="1"/>
    </xf>
    <xf numFmtId="0" fontId="1026" fillId="5" borderId="3" xfId="0" applyFont="1" applyFill="1" applyBorder="1" applyAlignment="1">
      <alignment horizontal="left" vertical="top" wrapText="1"/>
    </xf>
    <xf numFmtId="0" fontId="1027" fillId="5" borderId="3" xfId="0" applyFont="1" applyFill="1" applyBorder="1" applyAlignment="1">
      <alignment horizontal="center" vertical="top"/>
    </xf>
    <xf numFmtId="0" fontId="1028" fillId="5" borderId="3" xfId="0" applyFont="1" applyFill="1" applyBorder="1" applyAlignment="1">
      <alignment horizontal="center" vertical="top"/>
    </xf>
    <xf numFmtId="0" fontId="1051" fillId="5" borderId="3" xfId="0" applyFont="1" applyFill="1" applyBorder="1" applyAlignment="1">
      <alignment horizontal="left" vertical="top" wrapText="1"/>
    </xf>
    <xf numFmtId="0" fontId="1054" fillId="5" borderId="3" xfId="0" applyFont="1" applyFill="1" applyBorder="1" applyAlignment="1">
      <alignment horizontal="left" vertical="top" wrapText="1"/>
    </xf>
    <xf numFmtId="0" fontId="1055" fillId="5" borderId="3" xfId="0" applyFont="1" applyFill="1" applyBorder="1" applyAlignment="1">
      <alignment horizontal="left" vertical="top" wrapText="1"/>
    </xf>
    <xf numFmtId="0" fontId="1056" fillId="5" borderId="3" xfId="0" applyFont="1" applyFill="1" applyBorder="1" applyAlignment="1">
      <alignment horizontal="left" vertical="top" wrapText="1"/>
    </xf>
    <xf numFmtId="0" fontId="1057" fillId="5" borderId="3" xfId="0" applyFont="1" applyFill="1" applyBorder="1" applyAlignment="1">
      <alignment horizontal="left" vertical="top" wrapText="1"/>
    </xf>
    <xf numFmtId="0" fontId="1058" fillId="5" borderId="3" xfId="0" applyFont="1" applyFill="1" applyBorder="1" applyAlignment="1">
      <alignment horizontal="left" vertical="top" wrapText="1"/>
    </xf>
    <xf numFmtId="0" fontId="1059" fillId="5" borderId="3" xfId="0" applyFont="1" applyFill="1" applyBorder="1" applyAlignment="1">
      <alignment horizontal="left" vertical="top" wrapText="1"/>
    </xf>
    <xf numFmtId="0" fontId="1060" fillId="5" borderId="3" xfId="0" applyFont="1" applyFill="1" applyBorder="1" applyAlignment="1">
      <alignment horizontal="left" vertical="top" wrapText="1"/>
    </xf>
    <xf numFmtId="0" fontId="1061" fillId="5" borderId="3" xfId="0" applyFont="1" applyFill="1" applyBorder="1" applyAlignment="1">
      <alignment horizontal="left" vertical="top" wrapText="1"/>
    </xf>
    <xf numFmtId="0" fontId="1062" fillId="5" borderId="3" xfId="0" applyFont="1" applyFill="1" applyBorder="1" applyAlignment="1">
      <alignment horizontal="left" vertical="top" wrapText="1"/>
    </xf>
    <xf numFmtId="0" fontId="1063" fillId="5" borderId="3" xfId="0" applyFont="1" applyFill="1" applyBorder="1" applyAlignment="1">
      <alignment horizontal="left" vertical="top" wrapText="1"/>
    </xf>
    <xf numFmtId="0" fontId="1064" fillId="5" borderId="3" xfId="0" applyFont="1" applyFill="1" applyBorder="1" applyAlignment="1">
      <alignment horizontal="left" vertical="top" wrapText="1"/>
    </xf>
    <xf numFmtId="0" fontId="1084" fillId="5" borderId="3" xfId="0" applyFont="1" applyFill="1" applyBorder="1" applyAlignment="1">
      <alignment horizontal="left" vertical="top" wrapText="1"/>
    </xf>
    <xf numFmtId="0" fontId="1085" fillId="5" borderId="3" xfId="0" applyFont="1" applyFill="1" applyBorder="1" applyAlignment="1">
      <alignment horizontal="left" vertical="top" wrapText="1"/>
    </xf>
    <xf numFmtId="0" fontId="1086" fillId="5" borderId="3" xfId="0" applyFont="1" applyFill="1" applyBorder="1" applyAlignment="1">
      <alignment horizontal="left" vertical="top" wrapText="1"/>
    </xf>
    <xf numFmtId="0" fontId="1087" fillId="5" borderId="3" xfId="0" applyFont="1" applyFill="1" applyBorder="1" applyAlignment="1">
      <alignment horizontal="left" vertical="top" wrapText="1"/>
    </xf>
    <xf numFmtId="0" fontId="1088" fillId="5" borderId="3" xfId="0" applyFont="1" applyFill="1" applyBorder="1" applyAlignment="1">
      <alignment horizontal="left" vertical="top" wrapText="1"/>
    </xf>
    <xf numFmtId="0" fontId="1089" fillId="5" borderId="3" xfId="0" applyFont="1" applyFill="1" applyBorder="1" applyAlignment="1">
      <alignment horizontal="left" vertical="top" wrapText="1"/>
    </xf>
    <xf numFmtId="0" fontId="1090" fillId="5" borderId="3" xfId="0" applyFont="1" applyFill="1" applyBorder="1" applyAlignment="1">
      <alignment horizontal="center" vertical="top"/>
    </xf>
    <xf numFmtId="0" fontId="1091" fillId="5" borderId="3" xfId="0" applyFont="1" applyFill="1" applyBorder="1" applyAlignment="1">
      <alignment horizontal="center" vertical="top"/>
    </xf>
    <xf numFmtId="0" fontId="1092" fillId="5" borderId="3" xfId="0" applyFont="1" applyFill="1" applyBorder="1" applyAlignment="1">
      <alignment horizontal="left" vertical="top" wrapText="1"/>
    </xf>
    <xf numFmtId="0" fontId="1093" fillId="5" borderId="3" xfId="0" applyFont="1" applyFill="1" applyBorder="1" applyAlignment="1">
      <alignment horizontal="left" vertical="top" wrapText="1"/>
    </xf>
    <xf numFmtId="0" fontId="1094" fillId="5" borderId="3" xfId="0" applyFont="1" applyFill="1" applyBorder="1" applyAlignment="1">
      <alignment horizontal="left" vertical="top" wrapText="1"/>
    </xf>
    <xf numFmtId="0" fontId="1095" fillId="5" borderId="3" xfId="0" applyFont="1" applyFill="1" applyBorder="1" applyAlignment="1">
      <alignment horizontal="left" vertical="top" wrapText="1"/>
    </xf>
    <xf numFmtId="0" fontId="1096" fillId="5" borderId="3" xfId="0" applyFont="1" applyFill="1" applyBorder="1" applyAlignment="1">
      <alignment horizontal="left" vertical="top" wrapText="1"/>
    </xf>
    <xf numFmtId="0" fontId="1105" fillId="5" borderId="3" xfId="0" applyFont="1" applyFill="1" applyBorder="1" applyAlignment="1">
      <alignment horizontal="left" vertical="top" wrapText="1"/>
    </xf>
    <xf numFmtId="0" fontId="1106" fillId="5" borderId="3" xfId="0" applyFont="1" applyFill="1" applyBorder="1" applyAlignment="1">
      <alignment horizontal="left" vertical="top" wrapText="1"/>
    </xf>
    <xf numFmtId="0" fontId="1107" fillId="5" borderId="3" xfId="0" applyFont="1" applyFill="1" applyBorder="1" applyAlignment="1">
      <alignment horizontal="left" vertical="top" wrapText="1"/>
    </xf>
    <xf numFmtId="0" fontId="1108" fillId="5" borderId="3" xfId="0" applyFont="1" applyFill="1" applyBorder="1" applyAlignment="1">
      <alignment horizontal="left" vertical="top" wrapText="1"/>
    </xf>
    <xf numFmtId="0" fontId="1109" fillId="5" borderId="3" xfId="0" applyFont="1" applyFill="1" applyBorder="1" applyAlignment="1">
      <alignment horizontal="left" vertical="top" wrapText="1"/>
    </xf>
    <xf numFmtId="0" fontId="1110" fillId="5" borderId="3" xfId="0" applyFont="1" applyFill="1" applyBorder="1" applyAlignment="1">
      <alignment horizontal="left" vertical="top" wrapText="1"/>
    </xf>
    <xf numFmtId="0" fontId="1111" fillId="5" borderId="3" xfId="0" applyFont="1" applyFill="1" applyBorder="1" applyAlignment="1">
      <alignment horizontal="left" vertical="top" wrapText="1"/>
    </xf>
    <xf numFmtId="0" fontId="1112" fillId="5" borderId="3" xfId="0" applyFont="1" applyFill="1" applyBorder="1" applyAlignment="1">
      <alignment horizontal="left" vertical="top" wrapText="1"/>
    </xf>
    <xf numFmtId="0" fontId="1113" fillId="5" borderId="3" xfId="0" applyFont="1" applyFill="1" applyBorder="1" applyAlignment="1">
      <alignment horizontal="left" vertical="top" wrapText="1"/>
    </xf>
    <xf numFmtId="0" fontId="1114" fillId="5" borderId="3" xfId="0" applyFont="1" applyFill="1" applyBorder="1" applyAlignment="1">
      <alignment horizontal="left" vertical="top" wrapText="1"/>
    </xf>
    <xf numFmtId="0" fontId="1115" fillId="5" borderId="3" xfId="0" applyFont="1" applyFill="1" applyBorder="1" applyAlignment="1">
      <alignment horizontal="left" vertical="top" wrapText="1"/>
    </xf>
    <xf numFmtId="0" fontId="1116" fillId="5" borderId="3" xfId="0" applyFont="1" applyFill="1" applyBorder="1" applyAlignment="1">
      <alignment horizontal="left" vertical="top" wrapText="1"/>
    </xf>
    <xf numFmtId="0" fontId="1117" fillId="5" borderId="3" xfId="0" applyFont="1" applyFill="1" applyBorder="1" applyAlignment="1">
      <alignment horizontal="left" vertical="top" wrapText="1"/>
    </xf>
    <xf numFmtId="0" fontId="1118" fillId="5" borderId="3" xfId="0" applyFont="1" applyFill="1" applyBorder="1" applyAlignment="1">
      <alignment horizontal="left" vertical="top" wrapText="1"/>
    </xf>
    <xf numFmtId="0" fontId="1119" fillId="5" borderId="3" xfId="0" applyFont="1" applyFill="1" applyBorder="1" applyAlignment="1">
      <alignment horizontal="left" vertical="top" wrapText="1"/>
    </xf>
    <xf numFmtId="0" fontId="1120" fillId="5" borderId="3" xfId="0" applyFont="1" applyFill="1" applyBorder="1" applyAlignment="1">
      <alignment horizontal="left" vertical="top" wrapText="1"/>
    </xf>
    <xf numFmtId="0" fontId="1121" fillId="5" borderId="3" xfId="0" applyFont="1" applyFill="1" applyBorder="1" applyAlignment="1">
      <alignment horizontal="left" vertical="top" wrapText="1"/>
    </xf>
    <xf numFmtId="0" fontId="1122" fillId="5" borderId="3" xfId="0" applyFont="1" applyFill="1" applyBorder="1" applyAlignment="1">
      <alignment horizontal="left" vertical="top" wrapText="1"/>
    </xf>
    <xf numFmtId="0" fontId="1123" fillId="5" borderId="3" xfId="0" applyFont="1" applyFill="1" applyBorder="1" applyAlignment="1">
      <alignment horizontal="left" vertical="top" wrapText="1"/>
    </xf>
    <xf numFmtId="0" fontId="1124" fillId="5" borderId="3" xfId="0" applyFont="1" applyFill="1" applyBorder="1" applyAlignment="1">
      <alignment horizontal="left" vertical="top" wrapText="1"/>
    </xf>
    <xf numFmtId="0" fontId="1125" fillId="5" borderId="3" xfId="0" applyFont="1" applyFill="1" applyBorder="1" applyAlignment="1">
      <alignment horizontal="center" vertical="top"/>
    </xf>
    <xf numFmtId="0" fontId="1126" fillId="5" borderId="3" xfId="0" applyFont="1" applyFill="1" applyBorder="1" applyAlignment="1">
      <alignment horizontal="center" vertical="top"/>
    </xf>
    <xf numFmtId="0" fontId="1127" fillId="5" borderId="3" xfId="0" applyFont="1" applyFill="1" applyBorder="1" applyAlignment="1">
      <alignment horizontal="center" vertical="top"/>
    </xf>
    <xf numFmtId="0" fontId="1128" fillId="5" borderId="3" xfId="0" applyFont="1" applyFill="1" applyBorder="1" applyAlignment="1">
      <alignment horizontal="center" vertical="top"/>
    </xf>
    <xf numFmtId="0" fontId="1129" fillId="5" borderId="3" xfId="0" applyFont="1" applyFill="1" applyBorder="1" applyAlignment="1">
      <alignment horizontal="center" vertical="top"/>
    </xf>
    <xf numFmtId="0" fontId="1130" fillId="5" borderId="3" xfId="0" applyFont="1" applyFill="1" applyBorder="1" applyAlignment="1">
      <alignment horizontal="center" vertical="top"/>
    </xf>
    <xf numFmtId="0" fontId="1131" fillId="5" borderId="3" xfId="0" applyFont="1" applyFill="1" applyBorder="1" applyAlignment="1">
      <alignment horizontal="center" vertical="top"/>
    </xf>
    <xf numFmtId="0" fontId="1132" fillId="5" borderId="3" xfId="0" applyFont="1" applyFill="1" applyBorder="1" applyAlignment="1">
      <alignment horizontal="left" vertical="top" wrapText="1"/>
    </xf>
    <xf numFmtId="0" fontId="1133" fillId="5" borderId="3" xfId="0" applyFont="1" applyFill="1" applyBorder="1" applyAlignment="1">
      <alignment horizontal="left" vertical="top" wrapText="1"/>
    </xf>
    <xf numFmtId="0" fontId="1134" fillId="5" borderId="3" xfId="0" applyFont="1" applyFill="1" applyBorder="1" applyAlignment="1">
      <alignment horizontal="left" vertical="top" wrapText="1"/>
    </xf>
    <xf numFmtId="0" fontId="1135" fillId="5" borderId="3" xfId="0" applyFont="1" applyFill="1" applyBorder="1" applyAlignment="1">
      <alignment horizontal="center" vertical="top"/>
    </xf>
    <xf numFmtId="0" fontId="1136" fillId="5" borderId="3" xfId="0" applyFont="1" applyFill="1" applyBorder="1" applyAlignment="1">
      <alignment horizontal="center" vertical="top"/>
    </xf>
    <xf numFmtId="0" fontId="1137" fillId="5" borderId="3" xfId="0" applyFont="1" applyFill="1" applyBorder="1" applyAlignment="1">
      <alignment horizontal="center" vertical="top"/>
    </xf>
    <xf numFmtId="0" fontId="1138" fillId="5" borderId="3" xfId="0" applyFont="1" applyFill="1" applyBorder="1" applyAlignment="1">
      <alignment horizontal="center" vertical="top"/>
    </xf>
    <xf numFmtId="0" fontId="1139" fillId="5" borderId="3" xfId="0" applyFont="1" applyFill="1" applyBorder="1" applyAlignment="1">
      <alignment horizontal="left" vertical="top" wrapText="1"/>
    </xf>
    <xf numFmtId="0" fontId="1140" fillId="5" borderId="3" xfId="0" applyFont="1" applyFill="1" applyBorder="1" applyAlignment="1">
      <alignment horizontal="center" vertical="top"/>
    </xf>
    <xf numFmtId="0" fontId="1141" fillId="5" borderId="3" xfId="0" applyFont="1" applyFill="1" applyBorder="1" applyAlignment="1">
      <alignment horizontal="center" vertical="top"/>
    </xf>
    <xf numFmtId="0" fontId="1142" fillId="5" borderId="3" xfId="0" applyFont="1" applyFill="1" applyBorder="1" applyAlignment="1">
      <alignment horizontal="center" vertical="top"/>
    </xf>
    <xf numFmtId="0" fontId="1143" fillId="5" borderId="3" xfId="0" applyFont="1" applyFill="1" applyBorder="1" applyAlignment="1">
      <alignment horizontal="center" vertical="top"/>
    </xf>
    <xf numFmtId="0" fontId="1144" fillId="5" borderId="3" xfId="0" applyFont="1" applyFill="1" applyBorder="1" applyAlignment="1">
      <alignment horizontal="center" vertical="top"/>
    </xf>
    <xf numFmtId="0" fontId="1145" fillId="5" borderId="3" xfId="0" applyFont="1" applyFill="1" applyBorder="1" applyAlignment="1">
      <alignment horizontal="center" vertical="top"/>
    </xf>
    <xf numFmtId="0" fontId="1146" fillId="5" borderId="3" xfId="0" applyFont="1" applyFill="1" applyBorder="1" applyAlignment="1">
      <alignment horizontal="center" vertical="top"/>
    </xf>
    <xf numFmtId="0" fontId="1147" fillId="5" borderId="3" xfId="0" applyFont="1" applyFill="1" applyBorder="1" applyAlignment="1">
      <alignment horizontal="center" vertical="top"/>
    </xf>
    <xf numFmtId="0" fontId="1148" fillId="5" borderId="3" xfId="0" applyFont="1" applyFill="1" applyBorder="1" applyAlignment="1">
      <alignment horizontal="center" vertical="top"/>
    </xf>
    <xf numFmtId="0" fontId="1149" fillId="5" borderId="3" xfId="0" applyFont="1" applyFill="1" applyBorder="1" applyAlignment="1">
      <alignment horizontal="left" vertical="top" wrapText="1"/>
    </xf>
    <xf numFmtId="0" fontId="1150" fillId="5" borderId="3" xfId="0" applyFont="1" applyFill="1" applyBorder="1" applyAlignment="1">
      <alignment horizontal="left" vertical="top" wrapText="1"/>
    </xf>
    <xf numFmtId="0" fontId="1151" fillId="5" borderId="3" xfId="0" applyFont="1" applyFill="1" applyBorder="1" applyAlignment="1">
      <alignment horizontal="left" vertical="top" wrapText="1"/>
    </xf>
    <xf numFmtId="0" fontId="1152" fillId="5" borderId="3" xfId="0" applyFont="1" applyFill="1" applyBorder="1" applyAlignment="1">
      <alignment horizontal="left" vertical="top" wrapText="1"/>
    </xf>
    <xf numFmtId="0" fontId="1153" fillId="5" borderId="3" xfId="0" applyFont="1" applyFill="1" applyBorder="1" applyAlignment="1">
      <alignment horizontal="left" vertical="top" wrapText="1"/>
    </xf>
    <xf numFmtId="0" fontId="1154" fillId="5" borderId="3" xfId="0" applyFont="1" applyFill="1" applyBorder="1" applyAlignment="1">
      <alignment horizontal="left" vertical="top" wrapText="1"/>
    </xf>
    <xf numFmtId="0" fontId="1155" fillId="5" borderId="3" xfId="0" applyFont="1" applyFill="1" applyBorder="1" applyAlignment="1">
      <alignment horizontal="left" vertical="top" wrapText="1"/>
    </xf>
    <xf numFmtId="0" fontId="1156" fillId="5" borderId="3" xfId="0" applyFont="1" applyFill="1" applyBorder="1" applyAlignment="1">
      <alignment horizontal="left" vertical="top" wrapText="1"/>
    </xf>
    <xf numFmtId="0" fontId="1157" fillId="5" borderId="3" xfId="0" applyFont="1" applyFill="1" applyBorder="1" applyAlignment="1">
      <alignment horizontal="left" vertical="top" wrapText="1"/>
    </xf>
    <xf numFmtId="0" fontId="1158" fillId="5" borderId="3" xfId="0" applyFont="1" applyFill="1" applyBorder="1" applyAlignment="1">
      <alignment horizontal="left" vertical="top" wrapText="1"/>
    </xf>
    <xf numFmtId="0" fontId="1159" fillId="5" borderId="3" xfId="0" applyFont="1" applyFill="1" applyBorder="1" applyAlignment="1">
      <alignment horizontal="left" vertical="top" wrapText="1"/>
    </xf>
    <xf numFmtId="0" fontId="1160" fillId="5" borderId="3" xfId="0" applyFont="1" applyFill="1" applyBorder="1" applyAlignment="1">
      <alignment horizontal="left" vertical="top" wrapText="1"/>
    </xf>
    <xf numFmtId="0" fontId="1161" fillId="5" borderId="3" xfId="0" applyFont="1" applyFill="1" applyBorder="1" applyAlignment="1">
      <alignment horizontal="left" vertical="top" wrapText="1"/>
    </xf>
    <xf numFmtId="0" fontId="1162" fillId="5" borderId="3" xfId="0" applyFont="1" applyFill="1" applyBorder="1" applyAlignment="1">
      <alignment horizontal="left" vertical="top" wrapText="1"/>
    </xf>
    <xf numFmtId="0" fontId="1163" fillId="5" borderId="3" xfId="0" applyFont="1" applyFill="1" applyBorder="1" applyAlignment="1">
      <alignment horizontal="left" vertical="top" wrapText="1"/>
    </xf>
    <xf numFmtId="0" fontId="1164" fillId="5" borderId="3" xfId="0" applyFont="1" applyFill="1" applyBorder="1" applyAlignment="1">
      <alignment horizontal="left" vertical="top" wrapText="1"/>
    </xf>
    <xf numFmtId="0" fontId="1165" fillId="5" borderId="3" xfId="0" applyFont="1" applyFill="1" applyBorder="1" applyAlignment="1">
      <alignment horizontal="left" vertical="top" wrapText="1"/>
    </xf>
    <xf numFmtId="0" fontId="1166" fillId="5" borderId="3" xfId="0" applyFont="1" applyFill="1" applyBorder="1" applyAlignment="1">
      <alignment horizontal="left" vertical="top" wrapText="1"/>
    </xf>
    <xf numFmtId="0" fontId="1167" fillId="5" borderId="3" xfId="0" applyFont="1" applyFill="1" applyBorder="1" applyAlignment="1">
      <alignment horizontal="left" vertical="top" wrapText="1"/>
    </xf>
    <xf numFmtId="0" fontId="1168" fillId="5" borderId="3" xfId="0" applyFont="1" applyFill="1" applyBorder="1" applyAlignment="1">
      <alignment horizontal="left" vertical="top" wrapText="1"/>
    </xf>
    <xf numFmtId="0" fontId="1169" fillId="5" borderId="3" xfId="0" applyFont="1" applyFill="1" applyBorder="1" applyAlignment="1">
      <alignment horizontal="left" vertical="top" wrapText="1"/>
    </xf>
    <xf numFmtId="0" fontId="1170" fillId="5" borderId="3" xfId="0" applyFont="1" applyFill="1" applyBorder="1" applyAlignment="1">
      <alignment horizontal="left" vertical="top" wrapText="1"/>
    </xf>
    <xf numFmtId="0" fontId="1171" fillId="5" borderId="3" xfId="0" applyFont="1" applyFill="1" applyBorder="1" applyAlignment="1">
      <alignment horizontal="left" vertical="top" wrapText="1"/>
    </xf>
    <xf numFmtId="0" fontId="1172" fillId="5" borderId="3" xfId="0" applyFont="1" applyFill="1" applyBorder="1" applyAlignment="1">
      <alignment horizontal="center" vertical="top"/>
    </xf>
    <xf numFmtId="0" fontId="1173" fillId="5" borderId="3" xfId="0" applyFont="1" applyFill="1" applyBorder="1" applyAlignment="1">
      <alignment horizontal="left" vertical="top" wrapText="1"/>
    </xf>
    <xf numFmtId="0" fontId="1174" fillId="5" borderId="3" xfId="0" applyFont="1" applyFill="1" applyBorder="1" applyAlignment="1">
      <alignment horizontal="left" vertical="top" wrapText="1"/>
    </xf>
    <xf numFmtId="0" fontId="1175" fillId="5" borderId="3" xfId="0" applyFont="1" applyFill="1" applyBorder="1" applyAlignment="1">
      <alignment horizontal="left" vertical="top" wrapText="1"/>
    </xf>
    <xf numFmtId="0" fontId="1176" fillId="5" borderId="3" xfId="0" applyFont="1" applyFill="1" applyBorder="1" applyAlignment="1">
      <alignment horizontal="left" vertical="top" wrapText="1"/>
    </xf>
    <xf numFmtId="0" fontId="1177" fillId="5" borderId="3" xfId="0" applyFont="1" applyFill="1" applyBorder="1" applyAlignment="1">
      <alignment horizontal="left" vertical="top" wrapText="1"/>
    </xf>
    <xf numFmtId="0" fontId="1184" fillId="5" borderId="3" xfId="0" applyFont="1" applyFill="1" applyBorder="1" applyAlignment="1">
      <alignment horizontal="left" vertical="top" wrapText="1"/>
    </xf>
    <xf numFmtId="0" fontId="1185" fillId="5" borderId="3" xfId="0" applyFont="1" applyFill="1" applyBorder="1" applyAlignment="1">
      <alignment horizontal="left" vertical="top" wrapText="1"/>
    </xf>
    <xf numFmtId="0" fontId="1186" fillId="5" borderId="3" xfId="0" applyFont="1" applyFill="1" applyBorder="1" applyAlignment="1">
      <alignment horizontal="left" vertical="top" wrapText="1"/>
    </xf>
    <xf numFmtId="0" fontId="1187" fillId="5" borderId="3" xfId="0" applyFont="1" applyFill="1" applyBorder="1" applyAlignment="1">
      <alignment horizontal="left" vertical="top" wrapText="1"/>
    </xf>
    <xf numFmtId="0" fontId="1188" fillId="5" borderId="3" xfId="0" applyFont="1" applyFill="1" applyBorder="1" applyAlignment="1">
      <alignment horizontal="left" vertical="top" wrapText="1"/>
    </xf>
    <xf numFmtId="0" fontId="1189" fillId="5" borderId="3" xfId="0" applyFont="1" applyFill="1" applyBorder="1" applyAlignment="1">
      <alignment horizontal="left" vertical="top" wrapText="1"/>
    </xf>
    <xf numFmtId="0" fontId="1190" fillId="5" borderId="3" xfId="0" applyFont="1" applyFill="1" applyBorder="1" applyAlignment="1">
      <alignment horizontal="center" vertical="top"/>
    </xf>
    <xf numFmtId="0" fontId="1191" fillId="5" borderId="3" xfId="0" applyFont="1" applyFill="1" applyBorder="1" applyAlignment="1">
      <alignment horizontal="center" vertical="top"/>
    </xf>
    <xf numFmtId="0" fontId="1192" fillId="5" borderId="3" xfId="0" applyFont="1" applyFill="1" applyBorder="1" applyAlignment="1">
      <alignment horizontal="center" vertical="top"/>
    </xf>
    <xf numFmtId="0" fontId="1194" fillId="5" borderId="3" xfId="0" applyFont="1" applyFill="1" applyBorder="1" applyAlignment="1">
      <alignment horizontal="left" vertical="top" wrapText="1"/>
    </xf>
    <xf numFmtId="0" fontId="1195" fillId="5" borderId="3" xfId="0" applyFont="1" applyFill="1" applyBorder="1" applyAlignment="1">
      <alignment horizontal="left" vertical="top" wrapText="1"/>
    </xf>
    <xf numFmtId="0" fontId="1196" fillId="5" borderId="3" xfId="0" applyFont="1" applyFill="1" applyBorder="1" applyAlignment="1">
      <alignment horizontal="left" vertical="top" wrapText="1"/>
    </xf>
    <xf numFmtId="0" fontId="1197" fillId="5" borderId="3" xfId="0" applyFont="1" applyFill="1" applyBorder="1" applyAlignment="1">
      <alignment horizontal="left" vertical="top" wrapText="1"/>
    </xf>
    <xf numFmtId="0" fontId="1198" fillId="5" borderId="3" xfId="0" applyFont="1" applyFill="1" applyBorder="1" applyAlignment="1">
      <alignment horizontal="left" vertical="top" wrapText="1"/>
    </xf>
    <xf numFmtId="0" fontId="1199" fillId="5" borderId="3" xfId="0" applyFont="1" applyFill="1" applyBorder="1" applyAlignment="1">
      <alignment horizontal="left" vertical="top" wrapText="1"/>
    </xf>
    <xf numFmtId="0" fontId="1200" fillId="5" borderId="3" xfId="0" applyFont="1" applyFill="1" applyBorder="1" applyAlignment="1">
      <alignment horizontal="left" vertical="top" wrapText="1"/>
    </xf>
    <xf numFmtId="0" fontId="1201" fillId="5" borderId="3" xfId="0" applyFont="1" applyFill="1" applyBorder="1" applyAlignment="1">
      <alignment horizontal="left" vertical="top" wrapText="1"/>
    </xf>
    <xf numFmtId="0" fontId="1202" fillId="5" borderId="3" xfId="0" applyFont="1" applyFill="1" applyBorder="1" applyAlignment="1">
      <alignment horizontal="left" vertical="top" wrapText="1"/>
    </xf>
    <xf numFmtId="0" fontId="1203" fillId="5" borderId="3" xfId="0" applyFont="1" applyFill="1" applyBorder="1" applyAlignment="1">
      <alignment horizontal="left" vertical="top" wrapText="1"/>
    </xf>
    <xf numFmtId="0" fontId="1204" fillId="5" borderId="3" xfId="0" applyFont="1" applyFill="1" applyBorder="1" applyAlignment="1">
      <alignment horizontal="left" vertical="top" wrapText="1"/>
    </xf>
    <xf numFmtId="0" fontId="1205" fillId="5" borderId="3" xfId="0" applyFont="1" applyFill="1" applyBorder="1" applyAlignment="1">
      <alignment horizontal="left" vertical="top" wrapText="1"/>
    </xf>
    <xf numFmtId="0" fontId="1206" fillId="5" borderId="3" xfId="0" applyFont="1" applyFill="1" applyBorder="1" applyAlignment="1">
      <alignment horizontal="left" vertical="top" wrapText="1"/>
    </xf>
    <xf numFmtId="0" fontId="1207" fillId="5" borderId="3" xfId="0" applyFont="1" applyFill="1" applyBorder="1" applyAlignment="1">
      <alignment horizontal="left" vertical="top" wrapText="1"/>
    </xf>
    <xf numFmtId="0" fontId="1208" fillId="5" borderId="3" xfId="0" applyFont="1" applyFill="1" applyBorder="1" applyAlignment="1">
      <alignment horizontal="center" vertical="top"/>
    </xf>
    <xf numFmtId="0" fontId="1209" fillId="5" borderId="3" xfId="0" applyFont="1" applyFill="1" applyBorder="1" applyAlignment="1">
      <alignment horizontal="center" vertical="top"/>
    </xf>
    <xf numFmtId="0" fontId="1210" fillId="5" borderId="3" xfId="0" applyFont="1" applyFill="1" applyBorder="1" applyAlignment="1">
      <alignment horizontal="center" vertical="top"/>
    </xf>
    <xf numFmtId="0" fontId="1211" fillId="5" borderId="3" xfId="0" applyFont="1" applyFill="1" applyBorder="1" applyAlignment="1">
      <alignment horizontal="center" vertical="top"/>
    </xf>
    <xf numFmtId="0" fontId="1223" fillId="5" borderId="3" xfId="0" applyFont="1" applyFill="1" applyBorder="1" applyAlignment="1">
      <alignment horizontal="left" vertical="top" wrapText="1"/>
    </xf>
    <xf numFmtId="0" fontId="1227" fillId="5" borderId="3" xfId="0" applyFont="1" applyFill="1" applyBorder="1" applyAlignment="1">
      <alignment horizontal="left" vertical="top" wrapText="1"/>
    </xf>
    <xf numFmtId="0" fontId="1236" fillId="5" borderId="3" xfId="0" applyFont="1" applyFill="1" applyBorder="1" applyAlignment="1">
      <alignment horizontal="left" vertical="top" wrapText="1"/>
    </xf>
    <xf numFmtId="0" fontId="1237" fillId="5" borderId="3" xfId="0" applyFont="1" applyFill="1" applyBorder="1" applyAlignment="1">
      <alignment horizontal="left" vertical="top" wrapText="1"/>
    </xf>
    <xf numFmtId="0" fontId="1238" fillId="5" borderId="3" xfId="0" applyFont="1" applyFill="1" applyBorder="1" applyAlignment="1">
      <alignment horizontal="left" vertical="top" wrapText="1"/>
    </xf>
    <xf numFmtId="0" fontId="1239" fillId="5" borderId="3" xfId="0" applyFont="1" applyFill="1" applyBorder="1" applyAlignment="1">
      <alignment horizontal="left" vertical="top" wrapText="1"/>
    </xf>
    <xf numFmtId="0" fontId="1240" fillId="5" borderId="3" xfId="0" applyFont="1" applyFill="1" applyBorder="1" applyAlignment="1">
      <alignment horizontal="left" vertical="top" wrapText="1"/>
    </xf>
    <xf numFmtId="0" fontId="1241" fillId="5" borderId="3" xfId="0" applyFont="1" applyFill="1" applyBorder="1" applyAlignment="1">
      <alignment horizontal="left" vertical="top" wrapText="1"/>
    </xf>
    <xf numFmtId="0" fontId="1242" fillId="5" borderId="3" xfId="0" applyFont="1" applyFill="1" applyBorder="1" applyAlignment="1">
      <alignment horizontal="left" vertical="top" wrapText="1"/>
    </xf>
    <xf numFmtId="0" fontId="1243" fillId="5" borderId="3" xfId="0" applyFont="1" applyFill="1" applyBorder="1" applyAlignment="1">
      <alignment horizontal="left" vertical="top" wrapText="1"/>
    </xf>
    <xf numFmtId="0" fontId="1244" fillId="5" borderId="3" xfId="0" applyFont="1" applyFill="1" applyBorder="1" applyAlignment="1">
      <alignment horizontal="left" vertical="top" wrapText="1"/>
    </xf>
    <xf numFmtId="0" fontId="1245" fillId="5" borderId="3" xfId="0" applyFont="1" applyFill="1" applyBorder="1" applyAlignment="1">
      <alignment horizontal="left" vertical="top" wrapText="1"/>
    </xf>
    <xf numFmtId="0" fontId="1246" fillId="5" borderId="3" xfId="0" applyFont="1" applyFill="1" applyBorder="1" applyAlignment="1">
      <alignment horizontal="left" vertical="top" wrapText="1"/>
    </xf>
    <xf numFmtId="0" fontId="1247" fillId="5" borderId="3" xfId="0" applyFont="1" applyFill="1" applyBorder="1" applyAlignment="1">
      <alignment horizontal="left" vertical="top" wrapText="1"/>
    </xf>
    <xf numFmtId="0" fontId="1248" fillId="5" borderId="3" xfId="0" applyFont="1" applyFill="1" applyBorder="1" applyAlignment="1">
      <alignment horizontal="left" vertical="top" wrapText="1"/>
    </xf>
    <xf numFmtId="0" fontId="1249" fillId="5" borderId="3" xfId="0" applyFont="1" applyFill="1" applyBorder="1" applyAlignment="1">
      <alignment horizontal="left" vertical="top" wrapText="1"/>
    </xf>
    <xf numFmtId="0" fontId="1250" fillId="5" borderId="3" xfId="0" applyFont="1" applyFill="1" applyBorder="1" applyAlignment="1">
      <alignment horizontal="center" vertical="top"/>
    </xf>
    <xf numFmtId="0" fontId="1251" fillId="5" borderId="3" xfId="0" applyFont="1" applyFill="1" applyBorder="1" applyAlignment="1">
      <alignment horizontal="center" vertical="top"/>
    </xf>
    <xf numFmtId="0" fontId="1252" fillId="5" borderId="3" xfId="0" applyFont="1" applyFill="1" applyBorder="1" applyAlignment="1">
      <alignment horizontal="center" vertical="top"/>
    </xf>
    <xf numFmtId="0" fontId="1253" fillId="5" borderId="3" xfId="0" applyFont="1" applyFill="1" applyBorder="1" applyAlignment="1">
      <alignment horizontal="center" vertical="top"/>
    </xf>
    <xf numFmtId="0" fontId="1254" fillId="5" borderId="3" xfId="0" applyFont="1" applyFill="1" applyBorder="1" applyAlignment="1">
      <alignment horizontal="center" vertical="top"/>
    </xf>
    <xf numFmtId="0" fontId="1255" fillId="5" borderId="3" xfId="0" applyFont="1" applyFill="1" applyBorder="1" applyAlignment="1">
      <alignment horizontal="center" vertical="top"/>
    </xf>
    <xf numFmtId="0" fontId="1256" fillId="5" borderId="3" xfId="0" applyFont="1" applyFill="1" applyBorder="1" applyAlignment="1">
      <alignment horizontal="center" vertical="top"/>
    </xf>
    <xf numFmtId="0" fontId="1257" fillId="5" borderId="3" xfId="0" applyFont="1" applyFill="1" applyBorder="1" applyAlignment="1">
      <alignment horizontal="center" vertical="top"/>
    </xf>
    <xf numFmtId="0" fontId="1258" fillId="5" borderId="3" xfId="0" applyFont="1" applyFill="1" applyBorder="1" applyAlignment="1">
      <alignment horizontal="center" vertical="top"/>
    </xf>
    <xf numFmtId="0" fontId="1260" fillId="5" borderId="3" xfId="0" applyFont="1" applyFill="1" applyBorder="1" applyAlignment="1">
      <alignment horizontal="center" vertical="top"/>
    </xf>
    <xf numFmtId="0" fontId="1261" fillId="5" borderId="3" xfId="0" applyFont="1" applyFill="1" applyBorder="1" applyAlignment="1">
      <alignment horizontal="left" vertical="top" wrapText="1"/>
    </xf>
    <xf numFmtId="0" fontId="1262" fillId="5" borderId="3" xfId="0" applyFont="1" applyFill="1" applyBorder="1" applyAlignment="1">
      <alignment horizontal="left" vertical="top" wrapText="1"/>
    </xf>
    <xf numFmtId="0" fontId="1263" fillId="5" borderId="3" xfId="0" applyFont="1" applyFill="1" applyBorder="1" applyAlignment="1">
      <alignment horizontal="left" vertical="top" wrapText="1"/>
    </xf>
    <xf numFmtId="0" fontId="1264" fillId="5" borderId="3" xfId="0" applyFont="1" applyFill="1" applyBorder="1" applyAlignment="1">
      <alignment horizontal="left" vertical="top" wrapText="1"/>
    </xf>
    <xf numFmtId="0" fontId="1265" fillId="5" borderId="3" xfId="0" applyFont="1" applyFill="1" applyBorder="1" applyAlignment="1">
      <alignment horizontal="center" vertical="top"/>
    </xf>
    <xf numFmtId="0" fontId="1266" fillId="5" borderId="3" xfId="0" applyFont="1" applyFill="1" applyBorder="1" applyAlignment="1">
      <alignment horizontal="center" vertical="top"/>
    </xf>
    <xf numFmtId="0" fontId="1267" fillId="5" borderId="3" xfId="0" applyFont="1" applyFill="1" applyBorder="1" applyAlignment="1">
      <alignment horizontal="center" vertical="top"/>
    </xf>
    <xf numFmtId="0" fontId="1268" fillId="5" borderId="3" xfId="0" applyFont="1" applyFill="1" applyBorder="1" applyAlignment="1">
      <alignment horizontal="left" vertical="top" wrapText="1"/>
    </xf>
    <xf numFmtId="0" fontId="1269" fillId="5" borderId="3" xfId="0" applyFont="1" applyFill="1" applyBorder="1" applyAlignment="1">
      <alignment horizontal="left" vertical="top" wrapText="1"/>
    </xf>
    <xf numFmtId="0" fontId="1270" fillId="5" borderId="3" xfId="0" applyFont="1" applyFill="1" applyBorder="1" applyAlignment="1">
      <alignment horizontal="left" vertical="top" wrapText="1"/>
    </xf>
    <xf numFmtId="0" fontId="1271" fillId="5" borderId="3" xfId="0" applyFont="1" applyFill="1" applyBorder="1" applyAlignment="1">
      <alignment horizontal="left" vertical="top" wrapText="1"/>
    </xf>
    <xf numFmtId="0" fontId="1272" fillId="5" borderId="3" xfId="0" applyFont="1" applyFill="1" applyBorder="1" applyAlignment="1">
      <alignment horizontal="left" vertical="top" wrapText="1"/>
    </xf>
    <xf numFmtId="0" fontId="1273" fillId="5" borderId="3" xfId="0" applyFont="1" applyFill="1" applyBorder="1" applyAlignment="1">
      <alignment horizontal="center" vertical="top"/>
    </xf>
    <xf numFmtId="0" fontId="1276" fillId="5" borderId="3" xfId="0" applyFont="1" applyFill="1" applyBorder="1" applyAlignment="1">
      <alignment horizontal="center" vertical="top"/>
    </xf>
    <xf numFmtId="0" fontId="1277" fillId="5" borderId="3" xfId="0" applyFont="1" applyFill="1" applyBorder="1" applyAlignment="1">
      <alignment horizontal="center" vertical="top"/>
    </xf>
    <xf numFmtId="0" fontId="1278" fillId="5" borderId="3" xfId="0" applyFont="1" applyFill="1" applyBorder="1" applyAlignment="1">
      <alignment horizontal="center" vertical="top"/>
    </xf>
    <xf numFmtId="0" fontId="1279" fillId="5" borderId="3" xfId="0" applyFont="1" applyFill="1" applyBorder="1" applyAlignment="1">
      <alignment horizontal="center" vertical="top"/>
    </xf>
    <xf numFmtId="0" fontId="1280" fillId="5" borderId="3" xfId="0" applyFont="1" applyFill="1" applyBorder="1" applyAlignment="1">
      <alignment horizontal="center" vertical="top"/>
    </xf>
    <xf numFmtId="0" fontId="1281" fillId="5" borderId="3" xfId="0" applyFont="1" applyFill="1" applyBorder="1" applyAlignment="1">
      <alignment horizontal="center" vertical="top"/>
    </xf>
    <xf numFmtId="0" fontId="1282" fillId="5" borderId="3" xfId="0" applyFont="1" applyFill="1" applyBorder="1" applyAlignment="1">
      <alignment horizontal="center" vertical="top"/>
    </xf>
    <xf numFmtId="0" fontId="1283" fillId="5" borderId="3" xfId="0" applyFont="1" applyFill="1" applyBorder="1" applyAlignment="1">
      <alignment horizontal="left" vertical="top" wrapText="1"/>
    </xf>
    <xf numFmtId="0" fontId="1284" fillId="3" borderId="3" xfId="0" applyFont="1" applyFill="1" applyBorder="1" applyAlignment="1">
      <alignment horizontal="left" vertical="top" wrapText="1"/>
    </xf>
    <xf numFmtId="0" fontId="1287" fillId="4" borderId="3" xfId="0" applyFont="1" applyFill="1" applyBorder="1" applyAlignment="1">
      <alignment horizontal="center" vertical="top" wrapText="1"/>
    </xf>
    <xf numFmtId="0" fontId="1288" fillId="5" borderId="3" xfId="0" applyFont="1" applyFill="1" applyBorder="1" applyAlignment="1">
      <alignment horizontal="left" vertical="top" wrapText="1"/>
    </xf>
    <xf numFmtId="0" fontId="1289" fillId="5" borderId="3" xfId="0" applyFont="1" applyFill="1" applyBorder="1" applyAlignment="1">
      <alignment horizontal="left" vertical="top" wrapText="1"/>
    </xf>
    <xf numFmtId="0" fontId="1290" fillId="5" borderId="3" xfId="0" applyFont="1" applyFill="1" applyBorder="1" applyAlignment="1">
      <alignment horizontal="left" vertical="top" wrapText="1"/>
    </xf>
    <xf numFmtId="0" fontId="1291" fillId="5" borderId="3" xfId="0" applyFont="1" applyFill="1" applyBorder="1" applyAlignment="1">
      <alignment horizontal="left" vertical="top" wrapText="1"/>
    </xf>
    <xf numFmtId="0" fontId="1292" fillId="5" borderId="3" xfId="0" applyFont="1" applyFill="1" applyBorder="1" applyAlignment="1">
      <alignment horizontal="left" vertical="top" wrapText="1"/>
    </xf>
    <xf numFmtId="0" fontId="1293" fillId="5" borderId="3" xfId="0" applyFont="1" applyFill="1" applyBorder="1" applyAlignment="1">
      <alignment horizontal="left" vertical="top" wrapText="1"/>
    </xf>
    <xf numFmtId="0" fontId="1294" fillId="5" borderId="3" xfId="0" applyFont="1" applyFill="1" applyBorder="1" applyAlignment="1">
      <alignment horizontal="left" vertical="top" wrapText="1"/>
    </xf>
    <xf numFmtId="0" fontId="1295" fillId="5" borderId="3" xfId="0" applyFont="1" applyFill="1" applyBorder="1" applyAlignment="1">
      <alignment horizontal="left" vertical="top" wrapText="1"/>
    </xf>
    <xf numFmtId="0" fontId="1296" fillId="5" borderId="3" xfId="0" applyFont="1" applyFill="1" applyBorder="1" applyAlignment="1">
      <alignment horizontal="left" vertical="top" wrapText="1"/>
    </xf>
    <xf numFmtId="0" fontId="1297" fillId="5" borderId="3" xfId="0" applyFont="1" applyFill="1" applyBorder="1" applyAlignment="1">
      <alignment horizontal="left" vertical="top" wrapText="1"/>
    </xf>
    <xf numFmtId="0" fontId="1298" fillId="5" borderId="3" xfId="0" applyFont="1" applyFill="1" applyBorder="1" applyAlignment="1">
      <alignment horizontal="left" vertical="top" wrapText="1"/>
    </xf>
    <xf numFmtId="0" fontId="1299" fillId="5" borderId="3" xfId="0" applyFont="1" applyFill="1" applyBorder="1" applyAlignment="1">
      <alignment horizontal="left" vertical="top" wrapText="1"/>
    </xf>
    <xf numFmtId="0" fontId="1300" fillId="5" borderId="3" xfId="0" applyFont="1" applyFill="1" applyBorder="1" applyAlignment="1">
      <alignment horizontal="left" vertical="top" wrapText="1"/>
    </xf>
    <xf numFmtId="0" fontId="1301" fillId="5" borderId="3" xfId="0" applyFont="1" applyFill="1" applyBorder="1" applyAlignment="1">
      <alignment horizontal="left" vertical="top" wrapText="1"/>
    </xf>
    <xf numFmtId="0" fontId="1302" fillId="5" borderId="3" xfId="0" applyFont="1" applyFill="1" applyBorder="1" applyAlignment="1">
      <alignment horizontal="left" vertical="top" wrapText="1"/>
    </xf>
    <xf numFmtId="0" fontId="1303" fillId="5" borderId="3" xfId="0" applyFont="1" applyFill="1" applyBorder="1" applyAlignment="1">
      <alignment horizontal="left" vertical="top" wrapText="1"/>
    </xf>
    <xf numFmtId="0" fontId="1304" fillId="5" borderId="3" xfId="0" applyFont="1" applyFill="1" applyBorder="1" applyAlignment="1">
      <alignment horizontal="left" vertical="top" wrapText="1"/>
    </xf>
    <xf numFmtId="0" fontId="1305" fillId="5" borderId="3" xfId="0" applyFont="1" applyFill="1" applyBorder="1" applyAlignment="1">
      <alignment horizontal="left" vertical="top" wrapText="1"/>
    </xf>
    <xf numFmtId="0" fontId="1306" fillId="5" borderId="3" xfId="0" applyFont="1" applyFill="1" applyBorder="1" applyAlignment="1">
      <alignment horizontal="left" vertical="top" wrapText="1"/>
    </xf>
    <xf numFmtId="0" fontId="1307" fillId="5" borderId="3" xfId="0" applyFont="1" applyFill="1" applyBorder="1" applyAlignment="1">
      <alignment horizontal="left" vertical="top" wrapText="1"/>
    </xf>
    <xf numFmtId="0" fontId="1308" fillId="5" borderId="3" xfId="0" applyFont="1" applyFill="1" applyBorder="1" applyAlignment="1">
      <alignment horizontal="left" vertical="top" wrapText="1"/>
    </xf>
    <xf numFmtId="0" fontId="1309" fillId="5" borderId="3" xfId="0" applyFont="1" applyFill="1" applyBorder="1" applyAlignment="1">
      <alignment horizontal="left" vertical="top" wrapText="1"/>
    </xf>
    <xf numFmtId="0" fontId="1310" fillId="5" borderId="3" xfId="0" applyFont="1" applyFill="1" applyBorder="1" applyAlignment="1">
      <alignment horizontal="left" vertical="top" wrapText="1"/>
    </xf>
    <xf numFmtId="0" fontId="1311" fillId="5" borderId="3" xfId="0" applyFont="1" applyFill="1" applyBorder="1" applyAlignment="1">
      <alignment horizontal="left" vertical="top" wrapText="1"/>
    </xf>
    <xf numFmtId="0" fontId="1312" fillId="5" borderId="3" xfId="0" applyFont="1" applyFill="1" applyBorder="1" applyAlignment="1">
      <alignment horizontal="left" vertical="top" wrapText="1"/>
    </xf>
    <xf numFmtId="0" fontId="1313" fillId="5" borderId="3" xfId="0" applyFont="1" applyFill="1" applyBorder="1" applyAlignment="1">
      <alignment horizontal="left" vertical="top" wrapText="1"/>
    </xf>
    <xf numFmtId="0" fontId="1314" fillId="5" borderId="3" xfId="0" applyFont="1" applyFill="1" applyBorder="1" applyAlignment="1">
      <alignment horizontal="left" vertical="top" wrapText="1"/>
    </xf>
    <xf numFmtId="0" fontId="1315" fillId="5" borderId="3" xfId="0" applyFont="1" applyFill="1" applyBorder="1" applyAlignment="1">
      <alignment horizontal="center" vertical="top"/>
    </xf>
    <xf numFmtId="0" fontId="1316" fillId="5" borderId="3" xfId="0" applyFont="1" applyFill="1" applyBorder="1" applyAlignment="1">
      <alignment horizontal="center" vertical="top"/>
    </xf>
    <xf numFmtId="0" fontId="1317" fillId="5" borderId="3" xfId="0" applyFont="1" applyFill="1" applyBorder="1" applyAlignment="1">
      <alignment horizontal="center" vertical="top"/>
    </xf>
    <xf numFmtId="0" fontId="1318" fillId="5" borderId="3" xfId="0" applyFont="1" applyFill="1" applyBorder="1" applyAlignment="1">
      <alignment horizontal="center" vertical="top"/>
    </xf>
    <xf numFmtId="0" fontId="1319" fillId="5" borderId="3" xfId="0" applyFont="1" applyFill="1" applyBorder="1" applyAlignment="1">
      <alignment horizontal="center" vertical="top"/>
    </xf>
    <xf numFmtId="0" fontId="1320" fillId="5" borderId="3" xfId="0" applyFont="1" applyFill="1" applyBorder="1" applyAlignment="1">
      <alignment horizontal="center" vertical="top"/>
    </xf>
    <xf numFmtId="0" fontId="1321" fillId="5" borderId="3" xfId="0" applyFont="1" applyFill="1" applyBorder="1" applyAlignment="1">
      <alignment horizontal="center" vertical="top"/>
    </xf>
    <xf numFmtId="0" fontId="1322" fillId="5" borderId="3" xfId="0" applyFont="1" applyFill="1" applyBorder="1" applyAlignment="1">
      <alignment horizontal="center" vertical="top"/>
    </xf>
    <xf numFmtId="0" fontId="1323" fillId="5" borderId="3" xfId="0" applyFont="1" applyFill="1" applyBorder="1" applyAlignment="1">
      <alignment horizontal="center" vertical="top"/>
    </xf>
    <xf numFmtId="0" fontId="1324" fillId="5" borderId="3" xfId="0" applyFont="1" applyFill="1" applyBorder="1" applyAlignment="1">
      <alignment horizontal="center" vertical="top"/>
    </xf>
    <xf numFmtId="0" fontId="1325" fillId="5" borderId="3" xfId="0" applyFont="1" applyFill="1" applyBorder="1" applyAlignment="1">
      <alignment horizontal="center" vertical="top"/>
    </xf>
    <xf numFmtId="0" fontId="1326" fillId="5" borderId="3" xfId="0" applyFont="1" applyFill="1" applyBorder="1" applyAlignment="1">
      <alignment horizontal="center" vertical="top"/>
    </xf>
    <xf numFmtId="0" fontId="1327" fillId="5" borderId="3" xfId="0" applyFont="1" applyFill="1" applyBorder="1" applyAlignment="1">
      <alignment horizontal="center" vertical="top"/>
    </xf>
    <xf numFmtId="0" fontId="1328" fillId="5" borderId="3" xfId="0" applyFont="1" applyFill="1" applyBorder="1" applyAlignment="1">
      <alignment horizontal="center" vertical="top"/>
    </xf>
    <xf numFmtId="0" fontId="1329" fillId="5" borderId="3" xfId="0" applyFont="1" applyFill="1" applyBorder="1" applyAlignment="1">
      <alignment horizontal="center" vertical="top"/>
    </xf>
    <xf numFmtId="0" fontId="1330" fillId="5" borderId="3" xfId="0" applyFont="1" applyFill="1" applyBorder="1" applyAlignment="1">
      <alignment horizontal="center" vertical="top"/>
    </xf>
    <xf numFmtId="0" fontId="1331" fillId="5" borderId="3" xfId="0" applyFont="1" applyFill="1" applyBorder="1" applyAlignment="1">
      <alignment horizontal="center" vertical="top"/>
    </xf>
    <xf numFmtId="0" fontId="1332" fillId="5" borderId="3" xfId="0" applyFont="1" applyFill="1" applyBorder="1" applyAlignment="1">
      <alignment horizontal="left" vertical="top" wrapText="1"/>
    </xf>
    <xf numFmtId="0" fontId="1333" fillId="5" borderId="3" xfId="0" applyFont="1" applyFill="1" applyBorder="1" applyAlignment="1">
      <alignment horizontal="left" vertical="top" wrapText="1"/>
    </xf>
    <xf numFmtId="0" fontId="1334" fillId="5" borderId="3" xfId="0" applyFont="1" applyFill="1" applyBorder="1" applyAlignment="1">
      <alignment horizontal="left" vertical="top" wrapText="1"/>
    </xf>
    <xf numFmtId="0" fontId="1335" fillId="5" borderId="3" xfId="0" applyFont="1" applyFill="1" applyBorder="1" applyAlignment="1">
      <alignment horizontal="left" vertical="top" wrapText="1"/>
    </xf>
    <xf numFmtId="0" fontId="1336" fillId="5" borderId="3" xfId="0" applyFont="1" applyFill="1" applyBorder="1" applyAlignment="1">
      <alignment horizontal="left" vertical="top" wrapText="1"/>
    </xf>
    <xf numFmtId="0" fontId="1337" fillId="5" borderId="3" xfId="0" applyFont="1" applyFill="1" applyBorder="1" applyAlignment="1">
      <alignment horizontal="left" vertical="top" wrapText="1"/>
    </xf>
    <xf numFmtId="0" fontId="1338" fillId="5" borderId="3" xfId="0" applyFont="1" applyFill="1" applyBorder="1" applyAlignment="1">
      <alignment horizontal="left" vertical="top" wrapText="1"/>
    </xf>
    <xf numFmtId="0" fontId="1339" fillId="5" borderId="3" xfId="0" applyFont="1" applyFill="1" applyBorder="1" applyAlignment="1">
      <alignment horizontal="left" vertical="top" wrapText="1"/>
    </xf>
    <xf numFmtId="0" fontId="1340" fillId="5" borderId="3" xfId="0" applyFont="1" applyFill="1" applyBorder="1" applyAlignment="1">
      <alignment horizontal="left" vertical="top" wrapText="1"/>
    </xf>
    <xf numFmtId="0" fontId="1341" fillId="5" borderId="3" xfId="0" applyFont="1" applyFill="1" applyBorder="1" applyAlignment="1">
      <alignment horizontal="left" vertical="top" wrapText="1"/>
    </xf>
    <xf numFmtId="0" fontId="1342" fillId="5" borderId="3" xfId="0" applyFont="1" applyFill="1" applyBorder="1" applyAlignment="1">
      <alignment horizontal="left" vertical="top" wrapText="1"/>
    </xf>
    <xf numFmtId="0" fontId="1343" fillId="5" borderId="3" xfId="0" applyFont="1" applyFill="1" applyBorder="1" applyAlignment="1">
      <alignment horizontal="left" vertical="top" wrapText="1"/>
    </xf>
    <xf numFmtId="0" fontId="1344" fillId="5" borderId="3" xfId="0" applyFont="1" applyFill="1" applyBorder="1" applyAlignment="1">
      <alignment horizontal="left" vertical="top" wrapText="1"/>
    </xf>
    <xf numFmtId="0" fontId="1345" fillId="5" borderId="3" xfId="0" applyFont="1" applyFill="1" applyBorder="1" applyAlignment="1">
      <alignment horizontal="left" vertical="top" wrapText="1"/>
    </xf>
    <xf numFmtId="0" fontId="1346" fillId="5" borderId="3" xfId="0" applyFont="1" applyFill="1" applyBorder="1" applyAlignment="1">
      <alignment horizontal="left" vertical="top" wrapText="1"/>
    </xf>
    <xf numFmtId="0" fontId="1347" fillId="5" borderId="3" xfId="0" applyFont="1" applyFill="1" applyBorder="1" applyAlignment="1">
      <alignment horizontal="left" vertical="top" wrapText="1"/>
    </xf>
    <xf numFmtId="0" fontId="1348" fillId="5" borderId="3" xfId="0" applyFont="1" applyFill="1" applyBorder="1" applyAlignment="1">
      <alignment horizontal="left" vertical="top" wrapText="1"/>
    </xf>
    <xf numFmtId="0" fontId="1349" fillId="5" borderId="3" xfId="0" applyFont="1" applyFill="1" applyBorder="1" applyAlignment="1">
      <alignment horizontal="left" vertical="top" wrapText="1"/>
    </xf>
    <xf numFmtId="0" fontId="1350" fillId="5" borderId="3" xfId="0" applyFont="1" applyFill="1" applyBorder="1" applyAlignment="1">
      <alignment horizontal="left" vertical="top" wrapText="1"/>
    </xf>
    <xf numFmtId="0" fontId="1351" fillId="5" borderId="3" xfId="0" applyFont="1" applyFill="1" applyBorder="1" applyAlignment="1">
      <alignment horizontal="left" vertical="top" wrapText="1"/>
    </xf>
    <xf numFmtId="0" fontId="1352" fillId="5" borderId="3" xfId="0" applyFont="1" applyFill="1" applyBorder="1" applyAlignment="1">
      <alignment horizontal="left" vertical="top" wrapText="1"/>
    </xf>
    <xf numFmtId="0" fontId="1353" fillId="5" borderId="3" xfId="0" applyFont="1" applyFill="1" applyBorder="1" applyAlignment="1">
      <alignment horizontal="left" vertical="top" wrapText="1"/>
    </xf>
    <xf numFmtId="0" fontId="1354" fillId="5" borderId="3" xfId="0" applyFont="1" applyFill="1" applyBorder="1" applyAlignment="1">
      <alignment horizontal="left" vertical="top" wrapText="1"/>
    </xf>
    <xf numFmtId="0" fontId="1355" fillId="5" borderId="3" xfId="0" applyFont="1" applyFill="1" applyBorder="1" applyAlignment="1">
      <alignment horizontal="left" vertical="top" wrapText="1"/>
    </xf>
    <xf numFmtId="0" fontId="1356" fillId="5" borderId="3" xfId="0" applyFont="1" applyFill="1" applyBorder="1" applyAlignment="1">
      <alignment horizontal="left" vertical="top" wrapText="1"/>
    </xf>
    <xf numFmtId="0" fontId="1357" fillId="5" borderId="3" xfId="0" applyFont="1" applyFill="1" applyBorder="1" applyAlignment="1">
      <alignment horizontal="left" vertical="top" wrapText="1"/>
    </xf>
    <xf numFmtId="0" fontId="1358" fillId="5" borderId="3" xfId="0" applyFont="1" applyFill="1" applyBorder="1" applyAlignment="1">
      <alignment horizontal="left" vertical="top" wrapText="1"/>
    </xf>
    <xf numFmtId="0" fontId="1359" fillId="5" borderId="3" xfId="0" applyFont="1" applyFill="1" applyBorder="1" applyAlignment="1">
      <alignment horizontal="left" vertical="top" wrapText="1"/>
    </xf>
    <xf numFmtId="0" fontId="1360" fillId="5" borderId="3" xfId="0" applyFont="1" applyFill="1" applyBorder="1" applyAlignment="1">
      <alignment horizontal="left" vertical="top" wrapText="1"/>
    </xf>
    <xf numFmtId="0" fontId="1361" fillId="5" borderId="3" xfId="0" applyFont="1" applyFill="1" applyBorder="1" applyAlignment="1">
      <alignment horizontal="left" vertical="top" wrapText="1"/>
    </xf>
    <xf numFmtId="0" fontId="1362" fillId="5" borderId="3" xfId="0" applyFont="1" applyFill="1" applyBorder="1" applyAlignment="1">
      <alignment horizontal="left" vertical="top" wrapText="1"/>
    </xf>
    <xf numFmtId="0" fontId="1363" fillId="5" borderId="3" xfId="0" applyFont="1" applyFill="1" applyBorder="1" applyAlignment="1">
      <alignment horizontal="left" vertical="top" wrapText="1"/>
    </xf>
    <xf numFmtId="0" fontId="1364" fillId="5" borderId="3" xfId="0" applyFont="1" applyFill="1" applyBorder="1" applyAlignment="1">
      <alignment horizontal="left" vertical="top" wrapText="1"/>
    </xf>
    <xf numFmtId="0" fontId="1365" fillId="5" borderId="3" xfId="0" applyFont="1" applyFill="1" applyBorder="1" applyAlignment="1">
      <alignment horizontal="left" vertical="top" wrapText="1"/>
    </xf>
    <xf numFmtId="0" fontId="1366" fillId="5" borderId="3" xfId="0" applyFont="1" applyFill="1" applyBorder="1" applyAlignment="1">
      <alignment horizontal="left" vertical="top" wrapText="1"/>
    </xf>
    <xf numFmtId="0" fontId="1367" fillId="5" borderId="3" xfId="0" applyFont="1" applyFill="1" applyBorder="1" applyAlignment="1">
      <alignment horizontal="left" vertical="top" wrapText="1"/>
    </xf>
    <xf numFmtId="0" fontId="1368" fillId="5" borderId="3" xfId="0" applyFont="1" applyFill="1" applyBorder="1" applyAlignment="1">
      <alignment horizontal="left" vertical="top" wrapText="1"/>
    </xf>
    <xf numFmtId="0" fontId="1369" fillId="5" borderId="3" xfId="0" applyFont="1" applyFill="1" applyBorder="1" applyAlignment="1">
      <alignment horizontal="left" vertical="top" wrapText="1"/>
    </xf>
    <xf numFmtId="0" fontId="1370" fillId="5" borderId="3" xfId="0" applyFont="1" applyFill="1" applyBorder="1" applyAlignment="1">
      <alignment horizontal="left" vertical="top" wrapText="1"/>
    </xf>
    <xf numFmtId="0" fontId="1371" fillId="5" borderId="3" xfId="0" applyFont="1" applyFill="1" applyBorder="1" applyAlignment="1">
      <alignment horizontal="left" vertical="top" wrapText="1"/>
    </xf>
    <xf numFmtId="0" fontId="1372" fillId="5" borderId="3" xfId="0" applyFont="1" applyFill="1" applyBorder="1" applyAlignment="1">
      <alignment horizontal="left" vertical="top" wrapText="1"/>
    </xf>
    <xf numFmtId="0" fontId="1373" fillId="5" borderId="3" xfId="0" applyFont="1" applyFill="1" applyBorder="1" applyAlignment="1">
      <alignment horizontal="left" vertical="top" wrapText="1"/>
    </xf>
    <xf numFmtId="0" fontId="1374" fillId="5" borderId="3" xfId="0" applyFont="1" applyFill="1" applyBorder="1" applyAlignment="1">
      <alignment horizontal="left" vertical="top" wrapText="1"/>
    </xf>
    <xf numFmtId="0" fontId="1375" fillId="5" borderId="3" xfId="0" applyFont="1" applyFill="1" applyBorder="1" applyAlignment="1">
      <alignment horizontal="left" vertical="top" wrapText="1"/>
    </xf>
    <xf numFmtId="0" fontId="1376" fillId="5" borderId="3" xfId="0" applyFont="1" applyFill="1" applyBorder="1" applyAlignment="1">
      <alignment horizontal="center" vertical="top"/>
    </xf>
    <xf numFmtId="0" fontId="1377" fillId="5" borderId="3" xfId="0" applyFont="1" applyFill="1" applyBorder="1" applyAlignment="1">
      <alignment horizontal="center" vertical="top"/>
    </xf>
    <xf numFmtId="0" fontId="1378" fillId="5" borderId="3" xfId="0" applyFont="1" applyFill="1" applyBorder="1" applyAlignment="1">
      <alignment horizontal="center" vertical="top"/>
    </xf>
    <xf numFmtId="0" fontId="1379" fillId="5" borderId="3" xfId="0" applyFont="1" applyFill="1" applyBorder="1" applyAlignment="1">
      <alignment horizontal="center" vertical="top"/>
    </xf>
    <xf numFmtId="0" fontId="1380" fillId="5" borderId="3" xfId="0" applyFont="1" applyFill="1" applyBorder="1" applyAlignment="1">
      <alignment horizontal="center" vertical="top"/>
    </xf>
    <xf numFmtId="0" fontId="1381" fillId="5" borderId="3" xfId="0" applyFont="1" applyFill="1" applyBorder="1" applyAlignment="1">
      <alignment horizontal="center" vertical="top"/>
    </xf>
    <xf numFmtId="0" fontId="1382" fillId="5" borderId="3" xfId="0" applyFont="1" applyFill="1" applyBorder="1" applyAlignment="1">
      <alignment horizontal="center" vertical="top"/>
    </xf>
    <xf numFmtId="0" fontId="1383" fillId="5" borderId="3" xfId="0" applyFont="1" applyFill="1" applyBorder="1" applyAlignment="1">
      <alignment horizontal="center" vertical="top"/>
    </xf>
    <xf numFmtId="0" fontId="1384" fillId="5" borderId="3" xfId="0" applyFont="1" applyFill="1" applyBorder="1" applyAlignment="1">
      <alignment horizontal="center" vertical="top"/>
    </xf>
    <xf numFmtId="0" fontId="1385" fillId="5" borderId="3" xfId="0" applyFont="1" applyFill="1" applyBorder="1" applyAlignment="1">
      <alignment horizontal="center" vertical="top"/>
    </xf>
    <xf numFmtId="0" fontId="1386" fillId="5" borderId="3" xfId="0" applyFont="1" applyFill="1" applyBorder="1" applyAlignment="1">
      <alignment horizontal="center" vertical="top"/>
    </xf>
    <xf numFmtId="0" fontId="1387" fillId="5" borderId="3" xfId="0" applyFont="1" applyFill="1" applyBorder="1" applyAlignment="1">
      <alignment horizontal="center" vertical="top"/>
    </xf>
    <xf numFmtId="0" fontId="1388" fillId="5" borderId="3" xfId="0" applyFont="1" applyFill="1" applyBorder="1" applyAlignment="1">
      <alignment horizontal="left" vertical="top" wrapText="1"/>
    </xf>
    <xf numFmtId="0" fontId="1389" fillId="5" borderId="3" xfId="0" applyFont="1" applyFill="1" applyBorder="1" applyAlignment="1">
      <alignment horizontal="left" vertical="top" wrapText="1"/>
    </xf>
    <xf numFmtId="0" fontId="1390" fillId="5" borderId="3" xfId="0" applyFont="1" applyFill="1" applyBorder="1" applyAlignment="1">
      <alignment horizontal="left" vertical="top" wrapText="1"/>
    </xf>
    <xf numFmtId="0" fontId="1391" fillId="5" borderId="3" xfId="0" applyFont="1" applyFill="1" applyBorder="1" applyAlignment="1">
      <alignment horizontal="left" vertical="top" wrapText="1"/>
    </xf>
    <xf numFmtId="0" fontId="1392" fillId="5" borderId="3" xfId="0" applyFont="1" applyFill="1" applyBorder="1" applyAlignment="1">
      <alignment horizontal="left" vertical="top" wrapText="1"/>
    </xf>
    <xf numFmtId="0" fontId="1393" fillId="5" borderId="3" xfId="0" applyFont="1" applyFill="1" applyBorder="1" applyAlignment="1">
      <alignment horizontal="left" vertical="top" wrapText="1"/>
    </xf>
    <xf numFmtId="0" fontId="1394" fillId="5" borderId="3" xfId="0" applyFont="1" applyFill="1" applyBorder="1" applyAlignment="1">
      <alignment horizontal="left" vertical="top" wrapText="1"/>
    </xf>
    <xf numFmtId="0" fontId="1395" fillId="5" borderId="3" xfId="0" applyFont="1" applyFill="1" applyBorder="1" applyAlignment="1">
      <alignment horizontal="left" vertical="top" wrapText="1"/>
    </xf>
    <xf numFmtId="0" fontId="1396" fillId="5" borderId="3" xfId="0" applyFont="1" applyFill="1" applyBorder="1" applyAlignment="1">
      <alignment horizontal="left" vertical="top" wrapText="1"/>
    </xf>
    <xf numFmtId="0" fontId="1397" fillId="5" borderId="3" xfId="0" applyFont="1" applyFill="1" applyBorder="1" applyAlignment="1">
      <alignment horizontal="left" vertical="top" wrapText="1"/>
    </xf>
    <xf numFmtId="0" fontId="1398" fillId="5" borderId="3" xfId="0" applyFont="1" applyFill="1" applyBorder="1" applyAlignment="1">
      <alignment horizontal="left" vertical="top" wrapText="1"/>
    </xf>
    <xf numFmtId="0" fontId="1399" fillId="5" borderId="3" xfId="0" applyFont="1" applyFill="1" applyBorder="1" applyAlignment="1">
      <alignment horizontal="left" vertical="top" wrapText="1"/>
    </xf>
    <xf numFmtId="0" fontId="1400" fillId="5" borderId="3" xfId="0" applyFont="1" applyFill="1" applyBorder="1" applyAlignment="1">
      <alignment horizontal="left" vertical="top" wrapText="1"/>
    </xf>
    <xf numFmtId="0" fontId="1401" fillId="5" borderId="3" xfId="0" applyFont="1" applyFill="1" applyBorder="1" applyAlignment="1">
      <alignment horizontal="left" vertical="top" wrapText="1"/>
    </xf>
    <xf numFmtId="0" fontId="1402" fillId="5" borderId="3" xfId="0" applyFont="1" applyFill="1" applyBorder="1" applyAlignment="1">
      <alignment horizontal="left" vertical="top" wrapText="1"/>
    </xf>
    <xf numFmtId="0" fontId="1403" fillId="5" borderId="3" xfId="0" applyFont="1" applyFill="1" applyBorder="1" applyAlignment="1">
      <alignment horizontal="left" vertical="top" wrapText="1"/>
    </xf>
    <xf numFmtId="0" fontId="1404" fillId="5" borderId="3" xfId="0" applyFont="1" applyFill="1" applyBorder="1" applyAlignment="1">
      <alignment horizontal="left" vertical="top" wrapText="1"/>
    </xf>
    <xf numFmtId="0" fontId="1405" fillId="5" borderId="3" xfId="0" applyFont="1" applyFill="1" applyBorder="1" applyAlignment="1">
      <alignment horizontal="left" vertical="top" wrapText="1"/>
    </xf>
    <xf numFmtId="0" fontId="1406" fillId="5" borderId="3" xfId="0" applyFont="1" applyFill="1" applyBorder="1" applyAlignment="1">
      <alignment horizontal="left" vertical="top" wrapText="1"/>
    </xf>
    <xf numFmtId="0" fontId="1407" fillId="5" borderId="3" xfId="0" applyFont="1" applyFill="1" applyBorder="1" applyAlignment="1">
      <alignment horizontal="left" vertical="top" wrapText="1"/>
    </xf>
    <xf numFmtId="0" fontId="1408" fillId="5" borderId="3" xfId="0" applyFont="1" applyFill="1" applyBorder="1" applyAlignment="1">
      <alignment horizontal="left" vertical="top" wrapText="1"/>
    </xf>
    <xf numFmtId="0" fontId="1409" fillId="5" borderId="3" xfId="0" applyFont="1" applyFill="1" applyBorder="1" applyAlignment="1">
      <alignment horizontal="left" vertical="top" wrapText="1"/>
    </xf>
    <xf numFmtId="0" fontId="1410" fillId="5" borderId="3" xfId="0" applyFont="1" applyFill="1" applyBorder="1" applyAlignment="1">
      <alignment horizontal="left" vertical="top" wrapText="1"/>
    </xf>
    <xf numFmtId="0" fontId="1411" fillId="5" borderId="3" xfId="0" applyFont="1" applyFill="1" applyBorder="1" applyAlignment="1">
      <alignment horizontal="left" vertical="top" wrapText="1"/>
    </xf>
    <xf numFmtId="0" fontId="1412" fillId="5" borderId="3" xfId="0" applyFont="1" applyFill="1" applyBorder="1" applyAlignment="1">
      <alignment horizontal="left" vertical="top" wrapText="1"/>
    </xf>
    <xf numFmtId="0" fontId="1413" fillId="5" borderId="3" xfId="0" applyFont="1" applyFill="1" applyBorder="1" applyAlignment="1">
      <alignment horizontal="left" vertical="top" wrapText="1"/>
    </xf>
    <xf numFmtId="0" fontId="1414" fillId="5" borderId="3" xfId="0" applyFont="1" applyFill="1" applyBorder="1" applyAlignment="1">
      <alignment horizontal="left" vertical="top" wrapText="1"/>
    </xf>
    <xf numFmtId="0" fontId="1415" fillId="5" borderId="3" xfId="0" applyFont="1" applyFill="1" applyBorder="1" applyAlignment="1">
      <alignment horizontal="left" vertical="top" wrapText="1"/>
    </xf>
    <xf numFmtId="0" fontId="1416" fillId="5" borderId="3" xfId="0" applyFont="1" applyFill="1" applyBorder="1" applyAlignment="1">
      <alignment horizontal="center" vertical="top"/>
    </xf>
    <xf numFmtId="0" fontId="1417" fillId="5" borderId="3" xfId="0" applyFont="1" applyFill="1" applyBorder="1" applyAlignment="1">
      <alignment horizontal="center" vertical="top"/>
    </xf>
    <xf numFmtId="0" fontId="1418" fillId="5" borderId="3" xfId="0" applyFont="1" applyFill="1" applyBorder="1" applyAlignment="1">
      <alignment horizontal="left" vertical="top" wrapText="1"/>
    </xf>
    <xf numFmtId="0" fontId="1419" fillId="5" borderId="3" xfId="0" applyFont="1" applyFill="1" applyBorder="1" applyAlignment="1">
      <alignment horizontal="left" vertical="top" wrapText="1"/>
    </xf>
    <xf numFmtId="0" fontId="1420" fillId="5" borderId="3" xfId="0" applyFont="1" applyFill="1" applyBorder="1" applyAlignment="1">
      <alignment horizontal="left" vertical="top" wrapText="1"/>
    </xf>
    <xf numFmtId="0" fontId="1421" fillId="5" borderId="3" xfId="0" applyFont="1" applyFill="1" applyBorder="1" applyAlignment="1">
      <alignment horizontal="left" vertical="top" wrapText="1"/>
    </xf>
    <xf numFmtId="0" fontId="1422" fillId="5" borderId="3" xfId="0" applyFont="1" applyFill="1" applyBorder="1" applyAlignment="1">
      <alignment horizontal="center" vertical="top"/>
    </xf>
    <xf numFmtId="0" fontId="1423" fillId="5" borderId="3" xfId="0" applyFont="1" applyFill="1" applyBorder="1" applyAlignment="1">
      <alignment horizontal="center" vertical="top"/>
    </xf>
    <xf numFmtId="0" fontId="1424" fillId="5" borderId="3" xfId="0" applyFont="1" applyFill="1" applyBorder="1" applyAlignment="1">
      <alignment horizontal="left" vertical="top" wrapText="1"/>
    </xf>
    <xf numFmtId="0" fontId="1425" fillId="5" borderId="3" xfId="0" applyFont="1" applyFill="1" applyBorder="1" applyAlignment="1">
      <alignment horizontal="left" vertical="top" wrapText="1"/>
    </xf>
    <xf numFmtId="0" fontId="1426" fillId="5" borderId="3" xfId="0" applyFont="1" applyFill="1" applyBorder="1" applyAlignment="1">
      <alignment horizontal="left" vertical="top" wrapText="1"/>
    </xf>
    <xf numFmtId="0" fontId="1427" fillId="5" borderId="3" xfId="0" applyFont="1" applyFill="1" applyBorder="1" applyAlignment="1">
      <alignment horizontal="left" vertical="top" wrapText="1"/>
    </xf>
    <xf numFmtId="0" fontId="1428" fillId="5" borderId="3" xfId="0" applyFont="1" applyFill="1" applyBorder="1" applyAlignment="1">
      <alignment horizontal="left" vertical="top" wrapText="1"/>
    </xf>
    <xf numFmtId="0" fontId="1429" fillId="5" borderId="3" xfId="0" applyFont="1" applyFill="1" applyBorder="1" applyAlignment="1">
      <alignment horizontal="left" vertical="top" wrapText="1"/>
    </xf>
    <xf numFmtId="0" fontId="1430" fillId="5" borderId="3" xfId="0" applyFont="1" applyFill="1" applyBorder="1" applyAlignment="1">
      <alignment horizontal="left" vertical="top" wrapText="1"/>
    </xf>
    <xf numFmtId="0" fontId="1431" fillId="5" borderId="3" xfId="0" applyFont="1" applyFill="1" applyBorder="1" applyAlignment="1">
      <alignment horizontal="left" vertical="top" wrapText="1"/>
    </xf>
    <xf numFmtId="0" fontId="1432" fillId="5" borderId="3" xfId="0" applyFont="1" applyFill="1" applyBorder="1" applyAlignment="1">
      <alignment horizontal="left" vertical="top" wrapText="1"/>
    </xf>
    <xf numFmtId="0" fontId="1433" fillId="5" borderId="3" xfId="0" applyFont="1" applyFill="1" applyBorder="1" applyAlignment="1">
      <alignment horizontal="left" vertical="top" wrapText="1"/>
    </xf>
    <xf numFmtId="0" fontId="1434" fillId="5" borderId="3" xfId="0" applyFont="1" applyFill="1" applyBorder="1" applyAlignment="1">
      <alignment horizontal="left" vertical="top" wrapText="1"/>
    </xf>
    <xf numFmtId="0" fontId="1435" fillId="5" borderId="3" xfId="0" applyFont="1" applyFill="1" applyBorder="1" applyAlignment="1">
      <alignment horizontal="left" vertical="top" wrapText="1"/>
    </xf>
    <xf numFmtId="0" fontId="1436" fillId="5" borderId="3" xfId="0" applyFont="1" applyFill="1" applyBorder="1" applyAlignment="1">
      <alignment horizontal="left" vertical="top" wrapText="1"/>
    </xf>
    <xf numFmtId="0" fontId="1437" fillId="5" borderId="3" xfId="0" applyFont="1" applyFill="1" applyBorder="1" applyAlignment="1">
      <alignment horizontal="left" vertical="top" wrapText="1"/>
    </xf>
    <xf numFmtId="0" fontId="1438" fillId="5" borderId="3" xfId="0" applyFont="1" applyFill="1" applyBorder="1" applyAlignment="1">
      <alignment horizontal="left" vertical="top" wrapText="1"/>
    </xf>
    <xf numFmtId="0" fontId="1439" fillId="5" borderId="3" xfId="0" applyFont="1" applyFill="1" applyBorder="1" applyAlignment="1">
      <alignment horizontal="left" vertical="top" wrapText="1"/>
    </xf>
    <xf numFmtId="0" fontId="1440" fillId="5" borderId="3" xfId="0" applyFont="1" applyFill="1" applyBorder="1" applyAlignment="1">
      <alignment horizontal="left" vertical="top" wrapText="1"/>
    </xf>
    <xf numFmtId="0" fontId="1441" fillId="5" borderId="3" xfId="0" applyFont="1" applyFill="1" applyBorder="1" applyAlignment="1">
      <alignment horizontal="left" vertical="top" wrapText="1"/>
    </xf>
    <xf numFmtId="0" fontId="1442" fillId="5" borderId="3" xfId="0" applyFont="1" applyFill="1" applyBorder="1" applyAlignment="1">
      <alignment horizontal="left" vertical="top" wrapText="1"/>
    </xf>
    <xf numFmtId="0" fontId="1443" fillId="5" borderId="3" xfId="0" applyFont="1" applyFill="1" applyBorder="1" applyAlignment="1">
      <alignment horizontal="left" vertical="top" wrapText="1"/>
    </xf>
    <xf numFmtId="0" fontId="1444" fillId="5" borderId="3" xfId="0" applyFont="1" applyFill="1" applyBorder="1" applyAlignment="1">
      <alignment horizontal="left" vertical="top" wrapText="1"/>
    </xf>
    <xf numFmtId="0" fontId="1445" fillId="5" borderId="3" xfId="0" applyFont="1" applyFill="1" applyBorder="1" applyAlignment="1">
      <alignment horizontal="center" vertical="top"/>
    </xf>
    <xf numFmtId="0" fontId="1446" fillId="5" borderId="3" xfId="0" applyFont="1" applyFill="1" applyBorder="1" applyAlignment="1">
      <alignment horizontal="center" vertical="top"/>
    </xf>
    <xf numFmtId="0" fontId="1447" fillId="5" borderId="3" xfId="0" applyFont="1" applyFill="1" applyBorder="1" applyAlignment="1">
      <alignment horizontal="center" vertical="top"/>
    </xf>
    <xf numFmtId="0" fontId="1448" fillId="5" borderId="3" xfId="0" applyFont="1" applyFill="1" applyBorder="1" applyAlignment="1">
      <alignment horizontal="center" vertical="top"/>
    </xf>
    <xf numFmtId="0" fontId="1449" fillId="5" borderId="3" xfId="0" applyFont="1" applyFill="1" applyBorder="1" applyAlignment="1">
      <alignment horizontal="center" vertical="top"/>
    </xf>
    <xf numFmtId="0" fontId="1450" fillId="5" borderId="3" xfId="0" applyFont="1" applyFill="1" applyBorder="1" applyAlignment="1">
      <alignment horizontal="center" vertical="top"/>
    </xf>
    <xf numFmtId="0" fontId="1451" fillId="5" borderId="3" xfId="0" applyFont="1" applyFill="1" applyBorder="1" applyAlignment="1">
      <alignment horizontal="left" vertical="top" wrapText="1"/>
    </xf>
    <xf numFmtId="0" fontId="1452" fillId="5" borderId="3" xfId="0" applyFont="1" applyFill="1" applyBorder="1" applyAlignment="1">
      <alignment horizontal="left" vertical="top" wrapText="1"/>
    </xf>
    <xf numFmtId="0" fontId="1453" fillId="5" borderId="3" xfId="0" applyFont="1" applyFill="1" applyBorder="1" applyAlignment="1">
      <alignment horizontal="left" vertical="top" wrapText="1"/>
    </xf>
    <xf numFmtId="0" fontId="1454" fillId="5" borderId="3" xfId="0" applyFont="1" applyFill="1" applyBorder="1" applyAlignment="1">
      <alignment horizontal="center" vertical="top"/>
    </xf>
    <xf numFmtId="0" fontId="1455" fillId="5" borderId="3" xfId="0" applyFont="1" applyFill="1" applyBorder="1" applyAlignment="1">
      <alignment horizontal="left" vertical="top" wrapText="1"/>
    </xf>
    <xf numFmtId="0" fontId="1456" fillId="5" borderId="3" xfId="0" applyFont="1" applyFill="1" applyBorder="1" applyAlignment="1">
      <alignment horizontal="left" vertical="top" wrapText="1"/>
    </xf>
    <xf numFmtId="0" fontId="1457" fillId="5" borderId="3" xfId="0" applyFont="1" applyFill="1" applyBorder="1" applyAlignment="1">
      <alignment horizontal="center" vertical="top"/>
    </xf>
    <xf numFmtId="0" fontId="1458" fillId="5" borderId="3" xfId="0" applyFont="1" applyFill="1" applyBorder="1" applyAlignment="1">
      <alignment horizontal="left" vertical="top" wrapText="1"/>
    </xf>
    <xf numFmtId="0" fontId="1459" fillId="5" borderId="3" xfId="0" applyFont="1" applyFill="1" applyBorder="1" applyAlignment="1">
      <alignment horizontal="left" vertical="top" wrapText="1"/>
    </xf>
    <xf numFmtId="0" fontId="1460" fillId="5" borderId="3" xfId="0" applyFont="1" applyFill="1" applyBorder="1" applyAlignment="1">
      <alignment horizontal="left" vertical="top" wrapText="1"/>
    </xf>
    <xf numFmtId="0" fontId="1461" fillId="5" borderId="3" xfId="0" applyFont="1" applyFill="1" applyBorder="1" applyAlignment="1">
      <alignment horizontal="left" vertical="top" wrapText="1"/>
    </xf>
    <xf numFmtId="0" fontId="1462" fillId="5" borderId="3" xfId="0" applyFont="1" applyFill="1" applyBorder="1" applyAlignment="1">
      <alignment horizontal="left" vertical="top" wrapText="1"/>
    </xf>
    <xf numFmtId="0" fontId="1463" fillId="5" borderId="3" xfId="0" applyFont="1" applyFill="1" applyBorder="1" applyAlignment="1">
      <alignment horizontal="left" vertical="top" wrapText="1"/>
    </xf>
    <xf numFmtId="0" fontId="1464" fillId="5" borderId="3" xfId="0" applyFont="1" applyFill="1" applyBorder="1" applyAlignment="1">
      <alignment horizontal="left" vertical="top" wrapText="1"/>
    </xf>
    <xf numFmtId="0" fontId="1465" fillId="5" borderId="3" xfId="0" applyFont="1" applyFill="1" applyBorder="1" applyAlignment="1">
      <alignment horizontal="left" vertical="top" wrapText="1"/>
    </xf>
    <xf numFmtId="0" fontId="1466" fillId="5" borderId="3" xfId="0" applyFont="1" applyFill="1" applyBorder="1" applyAlignment="1">
      <alignment horizontal="center" vertical="top"/>
    </xf>
    <xf numFmtId="0" fontId="1467" fillId="5" borderId="3" xfId="0" applyFont="1" applyFill="1" applyBorder="1" applyAlignment="1">
      <alignment horizontal="center" vertical="top"/>
    </xf>
    <xf numFmtId="0" fontId="1468" fillId="5" borderId="3" xfId="0" applyFont="1" applyFill="1" applyBorder="1" applyAlignment="1">
      <alignment horizontal="center" vertical="top"/>
    </xf>
    <xf numFmtId="0" fontId="1469" fillId="5" borderId="3" xfId="0" applyFont="1" applyFill="1" applyBorder="1" applyAlignment="1">
      <alignment horizontal="left" vertical="top" wrapText="1"/>
    </xf>
    <xf numFmtId="0" fontId="1470" fillId="5" borderId="3" xfId="0" applyFont="1" applyFill="1" applyBorder="1" applyAlignment="1">
      <alignment horizontal="left" vertical="top" wrapText="1"/>
    </xf>
    <xf numFmtId="0" fontId="1471" fillId="5" borderId="3" xfId="0" applyFont="1" applyFill="1" applyBorder="1" applyAlignment="1">
      <alignment horizontal="left" vertical="top" wrapText="1"/>
    </xf>
    <xf numFmtId="0" fontId="1472" fillId="5" borderId="3" xfId="0" applyFont="1" applyFill="1" applyBorder="1" applyAlignment="1">
      <alignment horizontal="left" vertical="top" wrapText="1"/>
    </xf>
    <xf numFmtId="0" fontId="1473" fillId="5" borderId="3" xfId="0" applyFont="1" applyFill="1" applyBorder="1" applyAlignment="1">
      <alignment horizontal="left" vertical="top" wrapText="1"/>
    </xf>
    <xf numFmtId="0" fontId="1474" fillId="5" borderId="3" xfId="0" applyFont="1" applyFill="1" applyBorder="1" applyAlignment="1">
      <alignment horizontal="left" vertical="top" wrapText="1"/>
    </xf>
    <xf numFmtId="0" fontId="1475" fillId="5" borderId="3" xfId="0" applyFont="1" applyFill="1" applyBorder="1" applyAlignment="1">
      <alignment horizontal="left" vertical="top" wrapText="1"/>
    </xf>
    <xf numFmtId="0" fontId="1476" fillId="5" borderId="3" xfId="0" applyFont="1" applyFill="1" applyBorder="1" applyAlignment="1">
      <alignment horizontal="center" vertical="top"/>
    </xf>
    <xf numFmtId="0" fontId="1477" fillId="5" borderId="3" xfId="0" applyFont="1" applyFill="1" applyBorder="1" applyAlignment="1">
      <alignment horizontal="left" vertical="top" wrapText="1"/>
    </xf>
    <xf numFmtId="0" fontId="1478" fillId="5" borderId="3" xfId="0" applyFont="1" applyFill="1" applyBorder="1" applyAlignment="1">
      <alignment horizontal="left" vertical="top" wrapText="1"/>
    </xf>
    <xf numFmtId="0" fontId="1479" fillId="5" borderId="3" xfId="0" applyFont="1" applyFill="1" applyBorder="1" applyAlignment="1">
      <alignment horizontal="left" vertical="top" wrapText="1"/>
    </xf>
    <xf numFmtId="0" fontId="1480" fillId="5" borderId="3" xfId="0" applyFont="1" applyFill="1" applyBorder="1" applyAlignment="1">
      <alignment horizontal="left" vertical="top" wrapText="1"/>
    </xf>
    <xf numFmtId="0" fontId="1481" fillId="5" borderId="3" xfId="0" applyFont="1" applyFill="1" applyBorder="1" applyAlignment="1">
      <alignment horizontal="left" vertical="top" wrapText="1"/>
    </xf>
    <xf numFmtId="0" fontId="1482" fillId="5" borderId="3" xfId="0" applyFont="1" applyFill="1" applyBorder="1" applyAlignment="1">
      <alignment horizontal="left" vertical="top" wrapText="1"/>
    </xf>
    <xf numFmtId="0" fontId="1483" fillId="5" borderId="3" xfId="0" applyFont="1" applyFill="1" applyBorder="1" applyAlignment="1">
      <alignment horizontal="left" vertical="top" wrapText="1"/>
    </xf>
    <xf numFmtId="0" fontId="1484" fillId="5" borderId="3" xfId="0" applyFont="1" applyFill="1" applyBorder="1" applyAlignment="1">
      <alignment horizontal="left" vertical="top" wrapText="1"/>
    </xf>
    <xf numFmtId="0" fontId="1485" fillId="5" borderId="3" xfId="0" applyFont="1" applyFill="1" applyBorder="1" applyAlignment="1">
      <alignment horizontal="left" vertical="top" wrapText="1"/>
    </xf>
    <xf numFmtId="0" fontId="1486" fillId="5" borderId="3" xfId="0" applyFont="1" applyFill="1" applyBorder="1" applyAlignment="1">
      <alignment horizontal="left" vertical="top" wrapText="1"/>
    </xf>
    <xf numFmtId="0" fontId="1487" fillId="5" borderId="3" xfId="0" applyFont="1" applyFill="1" applyBorder="1" applyAlignment="1">
      <alignment horizontal="left" vertical="top" wrapText="1"/>
    </xf>
    <xf numFmtId="0" fontId="1488" fillId="5" borderId="3" xfId="0" applyFont="1" applyFill="1" applyBorder="1" applyAlignment="1">
      <alignment horizontal="left" vertical="top" wrapText="1"/>
    </xf>
    <xf numFmtId="0" fontId="1489" fillId="5" borderId="3" xfId="0" applyFont="1" applyFill="1" applyBorder="1" applyAlignment="1">
      <alignment horizontal="left" vertical="top" wrapText="1"/>
    </xf>
    <xf numFmtId="0" fontId="1490" fillId="5" borderId="3" xfId="0" applyFont="1" applyFill="1" applyBorder="1" applyAlignment="1">
      <alignment horizontal="left" vertical="top" wrapText="1"/>
    </xf>
    <xf numFmtId="0" fontId="1491" fillId="5" borderId="3" xfId="0" applyFont="1" applyFill="1" applyBorder="1" applyAlignment="1">
      <alignment horizontal="left" vertical="top" wrapText="1"/>
    </xf>
    <xf numFmtId="0" fontId="1492" fillId="5" borderId="3" xfId="0" applyFont="1" applyFill="1" applyBorder="1" applyAlignment="1">
      <alignment horizontal="left" vertical="top" wrapText="1"/>
    </xf>
    <xf numFmtId="0" fontId="1493" fillId="5" borderId="3" xfId="0" applyFont="1" applyFill="1" applyBorder="1" applyAlignment="1">
      <alignment horizontal="left" vertical="top" wrapText="1"/>
    </xf>
    <xf numFmtId="0" fontId="1494" fillId="5" borderId="3" xfId="0" applyFont="1" applyFill="1" applyBorder="1" applyAlignment="1">
      <alignment horizontal="left" vertical="top" wrapText="1"/>
    </xf>
    <xf numFmtId="0" fontId="1495" fillId="5" borderId="3" xfId="0" applyFont="1" applyFill="1" applyBorder="1" applyAlignment="1">
      <alignment horizontal="left" vertical="top" wrapText="1"/>
    </xf>
    <xf numFmtId="0" fontId="1496" fillId="5" borderId="3" xfId="0" applyFont="1" applyFill="1" applyBorder="1" applyAlignment="1">
      <alignment horizontal="left" vertical="top" wrapText="1"/>
    </xf>
    <xf numFmtId="0" fontId="1497" fillId="5" borderId="3" xfId="0" applyFont="1" applyFill="1" applyBorder="1" applyAlignment="1">
      <alignment horizontal="left" vertical="top" wrapText="1"/>
    </xf>
    <xf numFmtId="0" fontId="1498" fillId="5" borderId="3" xfId="0" applyFont="1" applyFill="1" applyBorder="1" applyAlignment="1">
      <alignment horizontal="left" vertical="top" wrapText="1"/>
    </xf>
    <xf numFmtId="0" fontId="1499" fillId="5" borderId="3" xfId="0" applyFont="1" applyFill="1" applyBorder="1" applyAlignment="1">
      <alignment horizontal="left" vertical="top" wrapText="1"/>
    </xf>
    <xf numFmtId="0" fontId="1500" fillId="5" borderId="3" xfId="0" applyFont="1" applyFill="1" applyBorder="1" applyAlignment="1">
      <alignment horizontal="left" vertical="top" wrapText="1"/>
    </xf>
    <xf numFmtId="0" fontId="1501" fillId="5" borderId="3" xfId="0" applyFont="1" applyFill="1" applyBorder="1" applyAlignment="1">
      <alignment horizontal="left" vertical="top" wrapText="1"/>
    </xf>
    <xf numFmtId="0" fontId="1502" fillId="5" borderId="3" xfId="0" applyFont="1" applyFill="1" applyBorder="1" applyAlignment="1">
      <alignment horizontal="left" vertical="top" wrapText="1"/>
    </xf>
    <xf numFmtId="0" fontId="1503" fillId="5" borderId="3" xfId="0" applyFont="1" applyFill="1" applyBorder="1" applyAlignment="1">
      <alignment horizontal="left" vertical="top" wrapText="1"/>
    </xf>
    <xf numFmtId="0" fontId="1504" fillId="5" borderId="3" xfId="0" applyFont="1" applyFill="1" applyBorder="1" applyAlignment="1">
      <alignment horizontal="left" vertical="top" wrapText="1"/>
    </xf>
    <xf numFmtId="0" fontId="1505" fillId="3" borderId="3" xfId="0" applyFont="1" applyFill="1" applyBorder="1" applyAlignment="1">
      <alignment horizontal="left" vertical="top" wrapText="1"/>
    </xf>
    <xf numFmtId="0" fontId="1508" fillId="4" borderId="3" xfId="0" applyFont="1" applyFill="1" applyBorder="1" applyAlignment="1">
      <alignment horizontal="center" vertical="top" wrapText="1"/>
    </xf>
    <xf numFmtId="0" fontId="1509" fillId="5" borderId="3" xfId="0" applyFont="1" applyFill="1" applyBorder="1" applyAlignment="1">
      <alignment vertical="top"/>
    </xf>
    <xf numFmtId="0" fontId="1510" fillId="5" borderId="3" xfId="0" applyFont="1" applyFill="1" applyBorder="1" applyAlignment="1">
      <alignment horizontal="center" vertical="top"/>
    </xf>
    <xf numFmtId="0" fontId="1511" fillId="5" borderId="3" xfId="0" applyFont="1" applyFill="1" applyBorder="1" applyAlignment="1">
      <alignment vertical="top"/>
    </xf>
    <xf numFmtId="0" fontId="1512" fillId="5" borderId="3" xfId="0" applyFont="1" applyFill="1" applyBorder="1" applyAlignment="1">
      <alignment vertical="top"/>
    </xf>
    <xf numFmtId="0" fontId="1513" fillId="5" borderId="3" xfId="0" applyFont="1" applyFill="1" applyBorder="1" applyAlignment="1">
      <alignment vertical="top"/>
    </xf>
    <xf numFmtId="0" fontId="1514" fillId="5" borderId="3" xfId="0" applyFont="1" applyFill="1" applyBorder="1" applyAlignment="1">
      <alignment horizontal="left" vertical="top" wrapText="1"/>
    </xf>
    <xf numFmtId="0" fontId="1515" fillId="5" borderId="3" xfId="0" applyFont="1" applyFill="1" applyBorder="1" applyAlignment="1">
      <alignment horizontal="left" vertical="top" wrapText="1"/>
    </xf>
    <xf numFmtId="0" fontId="1516" fillId="5" borderId="3" xfId="0" applyFont="1" applyFill="1" applyBorder="1" applyAlignment="1">
      <alignment horizontal="left" vertical="top" wrapText="1"/>
    </xf>
    <xf numFmtId="0" fontId="1517" fillId="5" borderId="3" xfId="0" applyFont="1" applyFill="1" applyBorder="1" applyAlignment="1">
      <alignment horizontal="left" vertical="top" wrapText="1"/>
    </xf>
    <xf numFmtId="0" fontId="1518" fillId="5" borderId="3" xfId="0" applyFont="1" applyFill="1" applyBorder="1" applyAlignment="1">
      <alignment horizontal="left" vertical="top" wrapText="1"/>
    </xf>
    <xf numFmtId="0" fontId="1519" fillId="5" borderId="3" xfId="0" applyFont="1" applyFill="1" applyBorder="1" applyAlignment="1">
      <alignment horizontal="left" vertical="top" wrapText="1"/>
    </xf>
    <xf numFmtId="0" fontId="1520" fillId="5" borderId="3" xfId="0" applyFont="1" applyFill="1" applyBorder="1" applyAlignment="1">
      <alignment horizontal="left" vertical="top" wrapText="1"/>
    </xf>
    <xf numFmtId="0" fontId="1521" fillId="5" borderId="3" xfId="0" applyFont="1" applyFill="1" applyBorder="1" applyAlignment="1">
      <alignment horizontal="left" vertical="top" wrapText="1"/>
    </xf>
    <xf numFmtId="0" fontId="1522" fillId="5" borderId="3" xfId="0" applyFont="1" applyFill="1" applyBorder="1" applyAlignment="1">
      <alignment horizontal="left" vertical="top" wrapText="1"/>
    </xf>
    <xf numFmtId="0" fontId="1523" fillId="5" borderId="3" xfId="0" applyFont="1" applyFill="1" applyBorder="1" applyAlignment="1">
      <alignment horizontal="left" vertical="top" wrapText="1"/>
    </xf>
    <xf numFmtId="0" fontId="1524" fillId="5" borderId="3" xfId="0" applyFont="1" applyFill="1" applyBorder="1" applyAlignment="1">
      <alignment horizontal="left" vertical="top" wrapText="1"/>
    </xf>
    <xf numFmtId="0" fontId="1525" fillId="5" borderId="3" xfId="0" applyFont="1" applyFill="1" applyBorder="1" applyAlignment="1">
      <alignment horizontal="left" vertical="top" wrapText="1"/>
    </xf>
    <xf numFmtId="0" fontId="1526" fillId="5" borderId="3" xfId="0" applyFont="1" applyFill="1" applyBorder="1" applyAlignment="1">
      <alignment horizontal="left" vertical="top" wrapText="1"/>
    </xf>
    <xf numFmtId="0" fontId="1527" fillId="5" borderId="3" xfId="0" applyFont="1" applyFill="1" applyBorder="1" applyAlignment="1">
      <alignment horizontal="left" vertical="top" wrapText="1"/>
    </xf>
    <xf numFmtId="0" fontId="1528" fillId="5" borderId="3" xfId="0" applyFont="1" applyFill="1" applyBorder="1" applyAlignment="1">
      <alignment horizontal="left" vertical="top" wrapText="1"/>
    </xf>
    <xf numFmtId="0" fontId="1529" fillId="5" borderId="3" xfId="0" applyFont="1" applyFill="1" applyBorder="1" applyAlignment="1">
      <alignment horizontal="left" vertical="top" wrapText="1"/>
    </xf>
    <xf numFmtId="0" fontId="1530" fillId="5" borderId="3" xfId="0" applyFont="1" applyFill="1" applyBorder="1" applyAlignment="1">
      <alignment horizontal="left" vertical="top" wrapText="1"/>
    </xf>
    <xf numFmtId="0" fontId="1531" fillId="5" borderId="3" xfId="0" applyFont="1" applyFill="1" applyBorder="1" applyAlignment="1">
      <alignment horizontal="left" vertical="top" wrapText="1"/>
    </xf>
    <xf numFmtId="0" fontId="1532" fillId="5" borderId="3" xfId="0" applyFont="1" applyFill="1" applyBorder="1" applyAlignment="1">
      <alignment horizontal="center" vertical="top"/>
    </xf>
    <xf numFmtId="0" fontId="1533" fillId="5" borderId="3" xfId="0" applyFont="1" applyFill="1" applyBorder="1" applyAlignment="1">
      <alignment horizontal="left" vertical="top" wrapText="1"/>
    </xf>
    <xf numFmtId="0" fontId="1534" fillId="5" borderId="3" xfId="0" applyFont="1" applyFill="1" applyBorder="1" applyAlignment="1">
      <alignment horizontal="left" vertical="top" wrapText="1"/>
    </xf>
    <xf numFmtId="0" fontId="1535" fillId="5" borderId="3" xfId="0" applyFont="1" applyFill="1" applyBorder="1" applyAlignment="1">
      <alignment horizontal="center" vertical="top"/>
    </xf>
    <xf numFmtId="0" fontId="1536" fillId="5" borderId="3" xfId="0" applyFont="1" applyFill="1" applyBorder="1" applyAlignment="1">
      <alignment horizontal="left" vertical="top" wrapText="1"/>
    </xf>
    <xf numFmtId="0" fontId="1537" fillId="5" borderId="3" xfId="0" applyFont="1" applyFill="1" applyBorder="1" applyAlignment="1">
      <alignment horizontal="left" vertical="top" wrapText="1"/>
    </xf>
    <xf numFmtId="0" fontId="1538" fillId="5" borderId="3" xfId="0" applyFont="1" applyFill="1" applyBorder="1" applyAlignment="1">
      <alignment horizontal="left" vertical="top" wrapText="1"/>
    </xf>
    <xf numFmtId="0" fontId="1539" fillId="5" borderId="3" xfId="0" applyFont="1" applyFill="1" applyBorder="1" applyAlignment="1">
      <alignment horizontal="left" vertical="top" wrapText="1"/>
    </xf>
    <xf numFmtId="0" fontId="1540" fillId="5" borderId="3" xfId="0" applyFont="1" applyFill="1" applyBorder="1" applyAlignment="1">
      <alignment horizontal="left" vertical="top" wrapText="1"/>
    </xf>
    <xf numFmtId="0" fontId="1541" fillId="5" borderId="3" xfId="0" applyFont="1" applyFill="1" applyBorder="1" applyAlignment="1">
      <alignment horizontal="left" vertical="top" wrapText="1"/>
    </xf>
    <xf numFmtId="0" fontId="1542" fillId="5" borderId="3" xfId="0" applyFont="1" applyFill="1" applyBorder="1" applyAlignment="1">
      <alignment horizontal="left" vertical="top" wrapText="1"/>
    </xf>
    <xf numFmtId="0" fontId="1543" fillId="5" borderId="3" xfId="0" applyFont="1" applyFill="1" applyBorder="1" applyAlignment="1">
      <alignment horizontal="left" vertical="top" wrapText="1"/>
    </xf>
    <xf numFmtId="0" fontId="1544" fillId="5" borderId="3" xfId="0" applyFont="1" applyFill="1" applyBorder="1" applyAlignment="1">
      <alignment horizontal="center" vertical="top"/>
    </xf>
    <xf numFmtId="0" fontId="1545" fillId="5" borderId="3" xfId="0" applyFont="1" applyFill="1" applyBorder="1" applyAlignment="1">
      <alignment horizontal="center" vertical="top"/>
    </xf>
    <xf numFmtId="0" fontId="1546" fillId="5" borderId="3" xfId="0" applyFont="1" applyFill="1" applyBorder="1" applyAlignment="1">
      <alignment horizontal="center" vertical="top"/>
    </xf>
    <xf numFmtId="0" fontId="1547" fillId="5" borderId="3" xfId="0" applyFont="1" applyFill="1" applyBorder="1" applyAlignment="1">
      <alignment horizontal="center" vertical="top"/>
    </xf>
    <xf numFmtId="0" fontId="1548" fillId="5" borderId="3" xfId="0" applyFont="1" applyFill="1" applyBorder="1" applyAlignment="1">
      <alignment horizontal="center" vertical="top"/>
    </xf>
    <xf numFmtId="0" fontId="1549" fillId="5" borderId="3" xfId="0" applyFont="1" applyFill="1" applyBorder="1" applyAlignment="1">
      <alignment horizontal="left" vertical="top" wrapText="1"/>
    </xf>
    <xf numFmtId="0" fontId="1550" fillId="5" borderId="3" xfId="0" applyFont="1" applyFill="1" applyBorder="1" applyAlignment="1">
      <alignment horizontal="left" vertical="top" wrapText="1"/>
    </xf>
    <xf numFmtId="0" fontId="1551" fillId="5" borderId="3" xfId="0" applyFont="1" applyFill="1" applyBorder="1" applyAlignment="1">
      <alignment horizontal="left" vertical="top" wrapText="1"/>
    </xf>
    <xf numFmtId="0" fontId="1552" fillId="5" borderId="3" xfId="0" applyFont="1" applyFill="1" applyBorder="1" applyAlignment="1">
      <alignment horizontal="center" vertical="top"/>
    </xf>
    <xf numFmtId="0" fontId="1553" fillId="5" borderId="3" xfId="0" applyFont="1" applyFill="1" applyBorder="1" applyAlignment="1">
      <alignment horizontal="left" vertical="top" wrapText="1"/>
    </xf>
    <xf numFmtId="0" fontId="1554" fillId="5" borderId="3" xfId="0" applyFont="1" applyFill="1" applyBorder="1" applyAlignment="1">
      <alignment horizontal="left" vertical="top" wrapText="1"/>
    </xf>
    <xf numFmtId="0" fontId="1555" fillId="5" borderId="3" xfId="0" applyFont="1" applyFill="1" applyBorder="1" applyAlignment="1">
      <alignment horizontal="center" vertical="top"/>
    </xf>
    <xf numFmtId="0" fontId="1556" fillId="5" borderId="3" xfId="0" applyFont="1" applyFill="1" applyBorder="1" applyAlignment="1">
      <alignment horizontal="center" vertical="top"/>
    </xf>
    <xf numFmtId="0" fontId="1557" fillId="5" borderId="3" xfId="0" applyFont="1" applyFill="1" applyBorder="1" applyAlignment="1">
      <alignment horizontal="center" vertical="top"/>
    </xf>
    <xf numFmtId="0" fontId="1558" fillId="5" borderId="3" xfId="0" applyFont="1" applyFill="1" applyBorder="1" applyAlignment="1">
      <alignment horizontal="center" vertical="top"/>
    </xf>
    <xf numFmtId="0" fontId="1559" fillId="5" borderId="3" xfId="0" applyFont="1" applyFill="1" applyBorder="1" applyAlignment="1">
      <alignment horizontal="center" vertical="top"/>
    </xf>
    <xf numFmtId="0" fontId="1560" fillId="5" borderId="3" xfId="0" applyFont="1" applyFill="1" applyBorder="1" applyAlignment="1">
      <alignment horizontal="center" vertical="top"/>
    </xf>
    <xf numFmtId="0" fontId="1561" fillId="5" borderId="3" xfId="0" applyFont="1" applyFill="1" applyBorder="1" applyAlignment="1">
      <alignment horizontal="center" vertical="top"/>
    </xf>
    <xf numFmtId="0" fontId="1562" fillId="5" borderId="3" xfId="0" applyFont="1" applyFill="1" applyBorder="1" applyAlignment="1">
      <alignment horizontal="center" vertical="top"/>
    </xf>
    <xf numFmtId="0" fontId="1563" fillId="5" borderId="3" xfId="0" applyFont="1" applyFill="1" applyBorder="1" applyAlignment="1">
      <alignment horizontal="center" vertical="top"/>
    </xf>
    <xf numFmtId="0" fontId="1564" fillId="5" borderId="3" xfId="0" applyFont="1" applyFill="1" applyBorder="1" applyAlignment="1">
      <alignment horizontal="center" vertical="top"/>
    </xf>
    <xf numFmtId="0" fontId="1565" fillId="5" borderId="3" xfId="0" applyFont="1" applyFill="1" applyBorder="1" applyAlignment="1">
      <alignment horizontal="center" vertical="top"/>
    </xf>
    <xf numFmtId="0" fontId="1566" fillId="5" borderId="3" xfId="0" applyFont="1" applyFill="1" applyBorder="1" applyAlignment="1">
      <alignment horizontal="center" vertical="top"/>
    </xf>
    <xf numFmtId="0" fontId="1567" fillId="5" borderId="3" xfId="0" applyFont="1" applyFill="1" applyBorder="1" applyAlignment="1">
      <alignment horizontal="center" vertical="top"/>
    </xf>
    <xf numFmtId="0" fontId="1568" fillId="5" borderId="3" xfId="0" applyFont="1" applyFill="1" applyBorder="1" applyAlignment="1">
      <alignment horizontal="left" vertical="top" wrapText="1"/>
    </xf>
    <xf numFmtId="0" fontId="1569" fillId="5" borderId="3" xfId="0" applyFont="1" applyFill="1" applyBorder="1" applyAlignment="1">
      <alignment horizontal="left" vertical="top" wrapText="1"/>
    </xf>
    <xf numFmtId="0" fontId="1570" fillId="5" borderId="3" xfId="0" applyFont="1" applyFill="1" applyBorder="1" applyAlignment="1">
      <alignment horizontal="left" vertical="top" wrapText="1"/>
    </xf>
    <xf numFmtId="0" fontId="1571" fillId="5" borderId="3" xfId="0" applyFont="1" applyFill="1" applyBorder="1" applyAlignment="1">
      <alignment horizontal="left" vertical="top" wrapText="1"/>
    </xf>
    <xf numFmtId="0" fontId="1572" fillId="5" borderId="3" xfId="0" applyFont="1" applyFill="1" applyBorder="1" applyAlignment="1">
      <alignment horizontal="left" vertical="top" wrapText="1"/>
    </xf>
    <xf numFmtId="0" fontId="1573" fillId="5" borderId="3" xfId="0" applyFont="1" applyFill="1" applyBorder="1" applyAlignment="1">
      <alignment horizontal="left" vertical="top" wrapText="1"/>
    </xf>
    <xf numFmtId="0" fontId="1574" fillId="5" borderId="3" xfId="0" applyFont="1" applyFill="1" applyBorder="1" applyAlignment="1">
      <alignment horizontal="left" vertical="top" wrapText="1"/>
    </xf>
    <xf numFmtId="0" fontId="1575" fillId="5" borderId="3" xfId="0" applyFont="1" applyFill="1" applyBorder="1" applyAlignment="1">
      <alignment horizontal="left" vertical="top" wrapText="1"/>
    </xf>
    <xf numFmtId="0" fontId="1576" fillId="5" borderId="3" xfId="0" applyFont="1" applyFill="1" applyBorder="1" applyAlignment="1">
      <alignment horizontal="left" vertical="top" wrapText="1"/>
    </xf>
    <xf numFmtId="0" fontId="1577" fillId="5" borderId="3" xfId="0" applyFont="1" applyFill="1" applyBorder="1" applyAlignment="1">
      <alignment horizontal="left" vertical="top" wrapText="1"/>
    </xf>
    <xf numFmtId="0" fontId="1578" fillId="5" borderId="3" xfId="0" applyFont="1" applyFill="1" applyBorder="1" applyAlignment="1">
      <alignment horizontal="left" vertical="top" wrapText="1"/>
    </xf>
    <xf numFmtId="0" fontId="1579" fillId="5" borderId="3" xfId="0" applyFont="1" applyFill="1" applyBorder="1" applyAlignment="1">
      <alignment horizontal="left" vertical="top" wrapText="1"/>
    </xf>
    <xf numFmtId="0" fontId="1580" fillId="5" borderId="3" xfId="0" applyFont="1" applyFill="1" applyBorder="1" applyAlignment="1">
      <alignment horizontal="left" vertical="top" wrapText="1"/>
    </xf>
    <xf numFmtId="0" fontId="1581" fillId="5" borderId="3" xfId="0" applyFont="1" applyFill="1" applyBorder="1" applyAlignment="1">
      <alignment horizontal="left" vertical="top" wrapText="1"/>
    </xf>
    <xf numFmtId="0" fontId="1582" fillId="5" borderId="3" xfId="0" applyFont="1" applyFill="1" applyBorder="1" applyAlignment="1">
      <alignment horizontal="left" vertical="top" wrapText="1"/>
    </xf>
    <xf numFmtId="0" fontId="1583" fillId="5" borderId="3" xfId="0" applyFont="1" applyFill="1" applyBorder="1" applyAlignment="1">
      <alignment horizontal="left" vertical="top" wrapText="1"/>
    </xf>
    <xf numFmtId="0" fontId="1584" fillId="5" borderId="3" xfId="0" applyFont="1" applyFill="1" applyBorder="1" applyAlignment="1">
      <alignment horizontal="left" vertical="top" wrapText="1"/>
    </xf>
    <xf numFmtId="0" fontId="1585" fillId="5" borderId="3" xfId="0" applyFont="1" applyFill="1" applyBorder="1" applyAlignment="1">
      <alignment horizontal="left" vertical="top" wrapText="1"/>
    </xf>
    <xf numFmtId="0" fontId="1586" fillId="5" borderId="3" xfId="0" applyFont="1" applyFill="1" applyBorder="1" applyAlignment="1">
      <alignment horizontal="left" vertical="top" wrapText="1"/>
    </xf>
    <xf numFmtId="0" fontId="1587" fillId="5" borderId="3" xfId="0" applyFont="1" applyFill="1" applyBorder="1" applyAlignment="1">
      <alignment horizontal="left" vertical="top" wrapText="1"/>
    </xf>
    <xf numFmtId="0" fontId="1588" fillId="5" borderId="3" xfId="0" applyFont="1" applyFill="1" applyBorder="1" applyAlignment="1">
      <alignment horizontal="left" vertical="top" wrapText="1"/>
    </xf>
    <xf numFmtId="0" fontId="1589" fillId="5" borderId="3" xfId="0" applyFont="1" applyFill="1" applyBorder="1" applyAlignment="1">
      <alignment horizontal="left" vertical="top" wrapText="1"/>
    </xf>
    <xf numFmtId="0" fontId="1590" fillId="5" borderId="3" xfId="0" applyFont="1" applyFill="1" applyBorder="1" applyAlignment="1">
      <alignment horizontal="left" vertical="top" wrapText="1"/>
    </xf>
    <xf numFmtId="0" fontId="1591" fillId="5" borderId="3" xfId="0" applyFont="1" applyFill="1" applyBorder="1" applyAlignment="1">
      <alignment horizontal="left" vertical="top" wrapText="1"/>
    </xf>
    <xf numFmtId="0" fontId="1592" fillId="5" borderId="3" xfId="0" applyFont="1" applyFill="1" applyBorder="1" applyAlignment="1">
      <alignment horizontal="left" vertical="top" wrapText="1"/>
    </xf>
    <xf numFmtId="0" fontId="1593" fillId="5" borderId="3" xfId="0" applyFont="1" applyFill="1" applyBorder="1" applyAlignment="1">
      <alignment horizontal="left" vertical="top" wrapText="1"/>
    </xf>
    <xf numFmtId="0" fontId="1594" fillId="5" borderId="3" xfId="0" applyFont="1" applyFill="1" applyBorder="1" applyAlignment="1">
      <alignment horizontal="left" vertical="top" wrapText="1"/>
    </xf>
    <xf numFmtId="0" fontId="1595" fillId="5" borderId="3" xfId="0" applyFont="1" applyFill="1" applyBorder="1" applyAlignment="1">
      <alignment horizontal="left" vertical="top" wrapText="1"/>
    </xf>
    <xf numFmtId="0" fontId="1596" fillId="5" borderId="3" xfId="0" applyFont="1" applyFill="1" applyBorder="1" applyAlignment="1">
      <alignment horizontal="left" vertical="top" wrapText="1"/>
    </xf>
    <xf numFmtId="0" fontId="1597" fillId="5" borderId="3" xfId="0" applyFont="1" applyFill="1" applyBorder="1" applyAlignment="1">
      <alignment horizontal="left" vertical="top" wrapText="1"/>
    </xf>
    <xf numFmtId="0" fontId="1598" fillId="5" borderId="3" xfId="0" applyFont="1" applyFill="1" applyBorder="1" applyAlignment="1">
      <alignment horizontal="left" vertical="top" wrapText="1"/>
    </xf>
    <xf numFmtId="0" fontId="1599" fillId="5" borderId="3" xfId="0" applyFont="1" applyFill="1" applyBorder="1" applyAlignment="1">
      <alignment horizontal="left" vertical="top" wrapText="1"/>
    </xf>
    <xf numFmtId="0" fontId="1600" fillId="5" borderId="3" xfId="0" applyFont="1" applyFill="1" applyBorder="1" applyAlignment="1">
      <alignment horizontal="left" vertical="top" wrapText="1"/>
    </xf>
    <xf numFmtId="0" fontId="1601" fillId="5" borderId="3" xfId="0" applyFont="1" applyFill="1" applyBorder="1" applyAlignment="1">
      <alignment horizontal="left" vertical="top" wrapText="1"/>
    </xf>
    <xf numFmtId="0" fontId="1602" fillId="5" borderId="3" xfId="0" applyFont="1" applyFill="1" applyBorder="1" applyAlignment="1">
      <alignment horizontal="left" vertical="top" wrapText="1"/>
    </xf>
    <xf numFmtId="0" fontId="1603" fillId="5" borderId="3" xfId="0" applyFont="1" applyFill="1" applyBorder="1" applyAlignment="1">
      <alignment horizontal="left" vertical="top" wrapText="1"/>
    </xf>
    <xf numFmtId="0" fontId="1604" fillId="5" borderId="3" xfId="0" applyFont="1" applyFill="1" applyBorder="1" applyAlignment="1">
      <alignment horizontal="left" vertical="top" wrapText="1"/>
    </xf>
    <xf numFmtId="0" fontId="1605" fillId="5" borderId="3" xfId="0" applyFont="1" applyFill="1" applyBorder="1" applyAlignment="1">
      <alignment horizontal="left" vertical="top" wrapText="1"/>
    </xf>
    <xf numFmtId="0" fontId="1606" fillId="5" borderId="3" xfId="0" applyFont="1" applyFill="1" applyBorder="1" applyAlignment="1">
      <alignment horizontal="left" vertical="top" wrapText="1"/>
    </xf>
    <xf numFmtId="0" fontId="1607" fillId="5" borderId="3" xfId="0" applyFont="1" applyFill="1" applyBorder="1" applyAlignment="1">
      <alignment horizontal="left" vertical="top" wrapText="1"/>
    </xf>
    <xf numFmtId="0" fontId="1608" fillId="5" borderId="3" xfId="0" applyFont="1" applyFill="1" applyBorder="1" applyAlignment="1">
      <alignment horizontal="left" vertical="top" wrapText="1"/>
    </xf>
    <xf numFmtId="0" fontId="1609" fillId="5" borderId="3" xfId="0" applyFont="1" applyFill="1" applyBorder="1" applyAlignment="1">
      <alignment horizontal="left" vertical="top" wrapText="1"/>
    </xf>
    <xf numFmtId="0" fontId="1610" fillId="5" borderId="3" xfId="0" applyFont="1" applyFill="1" applyBorder="1" applyAlignment="1">
      <alignment horizontal="left" vertical="top" wrapText="1"/>
    </xf>
    <xf numFmtId="0" fontId="1611" fillId="5" borderId="3" xfId="0" applyFont="1" applyFill="1" applyBorder="1" applyAlignment="1">
      <alignment horizontal="left" vertical="top" wrapText="1"/>
    </xf>
    <xf numFmtId="0" fontId="1612" fillId="5" borderId="3" xfId="0" applyFont="1" applyFill="1" applyBorder="1" applyAlignment="1">
      <alignment horizontal="left" vertical="top" wrapText="1"/>
    </xf>
    <xf numFmtId="0" fontId="1613" fillId="5" borderId="3" xfId="0" applyFont="1" applyFill="1" applyBorder="1" applyAlignment="1">
      <alignment horizontal="left" vertical="top" wrapText="1"/>
    </xf>
    <xf numFmtId="0" fontId="1614" fillId="5" borderId="3" xfId="0" applyFont="1" applyFill="1" applyBorder="1" applyAlignment="1">
      <alignment horizontal="left" vertical="top" wrapText="1"/>
    </xf>
    <xf numFmtId="0" fontId="1615" fillId="5" borderId="3" xfId="0" applyFont="1" applyFill="1" applyBorder="1" applyAlignment="1">
      <alignment horizontal="left" vertical="top" wrapText="1"/>
    </xf>
    <xf numFmtId="0" fontId="1616" fillId="5" borderId="3" xfId="0" applyFont="1" applyFill="1" applyBorder="1" applyAlignment="1">
      <alignment horizontal="left" vertical="top" wrapText="1"/>
    </xf>
    <xf numFmtId="0" fontId="1617" fillId="5" borderId="3" xfId="0" applyFont="1" applyFill="1" applyBorder="1" applyAlignment="1">
      <alignment horizontal="left" vertical="top" wrapText="1"/>
    </xf>
    <xf numFmtId="0" fontId="1618" fillId="5" borderId="3" xfId="0" applyFont="1" applyFill="1" applyBorder="1" applyAlignment="1">
      <alignment horizontal="left" vertical="top" wrapText="1"/>
    </xf>
    <xf numFmtId="0" fontId="1619" fillId="5" borderId="3" xfId="0" applyFont="1" applyFill="1" applyBorder="1" applyAlignment="1">
      <alignment horizontal="left" vertical="top" wrapText="1"/>
    </xf>
    <xf numFmtId="0" fontId="1620" fillId="5" borderId="3" xfId="0" applyFont="1" applyFill="1" applyBorder="1" applyAlignment="1">
      <alignment horizontal="left" vertical="top" wrapText="1"/>
    </xf>
    <xf numFmtId="0" fontId="1621" fillId="5" borderId="3" xfId="0" applyFont="1" applyFill="1" applyBorder="1" applyAlignment="1">
      <alignment horizontal="left" vertical="top" wrapText="1"/>
    </xf>
    <xf numFmtId="0" fontId="1622" fillId="5" borderId="3" xfId="0" applyFont="1" applyFill="1" applyBorder="1" applyAlignment="1">
      <alignment horizontal="left" vertical="top" wrapText="1"/>
    </xf>
    <xf numFmtId="0" fontId="1623" fillId="5" borderId="3" xfId="0" applyFont="1" applyFill="1" applyBorder="1" applyAlignment="1">
      <alignment horizontal="left" vertical="top" wrapText="1"/>
    </xf>
    <xf numFmtId="0" fontId="1624" fillId="5" borderId="3" xfId="0" applyFont="1" applyFill="1" applyBorder="1" applyAlignment="1">
      <alignment horizontal="left" vertical="top" wrapText="1"/>
    </xf>
    <xf numFmtId="0" fontId="1625" fillId="5" borderId="3" xfId="0" applyFont="1" applyFill="1" applyBorder="1" applyAlignment="1">
      <alignment horizontal="left" vertical="top" wrapText="1"/>
    </xf>
    <xf numFmtId="0" fontId="1626" fillId="5" borderId="3" xfId="0" applyFont="1" applyFill="1" applyBorder="1" applyAlignment="1">
      <alignment horizontal="left" vertical="top" wrapText="1"/>
    </xf>
    <xf numFmtId="0" fontId="1627" fillId="5" borderId="3" xfId="0" applyFont="1" applyFill="1" applyBorder="1" applyAlignment="1">
      <alignment horizontal="left" vertical="top" wrapText="1"/>
    </xf>
    <xf numFmtId="0" fontId="1628" fillId="5" borderId="3" xfId="0" applyFont="1" applyFill="1" applyBorder="1" applyAlignment="1">
      <alignment horizontal="left" vertical="top" wrapText="1"/>
    </xf>
    <xf numFmtId="0" fontId="1629" fillId="5" borderId="3" xfId="0" applyFont="1" applyFill="1" applyBorder="1" applyAlignment="1">
      <alignment horizontal="left" vertical="top" wrapText="1"/>
    </xf>
    <xf numFmtId="0" fontId="1630" fillId="5" borderId="3" xfId="0" applyFont="1" applyFill="1" applyBorder="1" applyAlignment="1">
      <alignment horizontal="left" vertical="top" wrapText="1"/>
    </xf>
    <xf numFmtId="0" fontId="1631" fillId="5" borderId="3" xfId="0" applyFont="1" applyFill="1" applyBorder="1" applyAlignment="1">
      <alignment horizontal="left" vertical="top" wrapText="1"/>
    </xf>
    <xf numFmtId="0" fontId="1632" fillId="5" borderId="3" xfId="0" applyFont="1" applyFill="1" applyBorder="1" applyAlignment="1">
      <alignment horizontal="left" vertical="top" wrapText="1"/>
    </xf>
    <xf numFmtId="0" fontId="1633" fillId="5" borderId="3" xfId="0" applyFont="1" applyFill="1" applyBorder="1" applyAlignment="1">
      <alignment horizontal="left" vertical="top" wrapText="1"/>
    </xf>
    <xf numFmtId="0" fontId="1634" fillId="5" borderId="3" xfId="0" applyFont="1" applyFill="1" applyBorder="1" applyAlignment="1">
      <alignment horizontal="left" vertical="top" wrapText="1"/>
    </xf>
    <xf numFmtId="0" fontId="1635" fillId="5" borderId="3" xfId="0" applyFont="1" applyFill="1" applyBorder="1" applyAlignment="1">
      <alignment horizontal="left" vertical="top" wrapText="1"/>
    </xf>
    <xf numFmtId="0" fontId="1636" fillId="5" borderId="3" xfId="0" applyFont="1" applyFill="1" applyBorder="1" applyAlignment="1">
      <alignment horizontal="center" vertical="top"/>
    </xf>
    <xf numFmtId="0" fontId="1637" fillId="5" borderId="3" xfId="0" applyFont="1" applyFill="1" applyBorder="1" applyAlignment="1">
      <alignment horizontal="center" vertical="top"/>
    </xf>
    <xf numFmtId="0" fontId="1638" fillId="5" borderId="3" xfId="0" applyFont="1" applyFill="1" applyBorder="1" applyAlignment="1">
      <alignment horizontal="left" vertical="top" wrapText="1"/>
    </xf>
    <xf numFmtId="0" fontId="1639" fillId="5" borderId="3" xfId="0" applyFont="1" applyFill="1" applyBorder="1" applyAlignment="1">
      <alignment horizontal="left" vertical="top" wrapText="1"/>
    </xf>
    <xf numFmtId="0" fontId="1640" fillId="5" borderId="3" xfId="0" applyFont="1" applyFill="1" applyBorder="1" applyAlignment="1">
      <alignment horizontal="left" vertical="top" wrapText="1"/>
    </xf>
    <xf numFmtId="0" fontId="1641" fillId="5" borderId="3" xfId="0" applyFont="1" applyFill="1" applyBorder="1" applyAlignment="1">
      <alignment horizontal="left" vertical="top" wrapText="1"/>
    </xf>
    <xf numFmtId="0" fontId="1642" fillId="5" borderId="3" xfId="0" applyFont="1" applyFill="1" applyBorder="1" applyAlignment="1">
      <alignment horizontal="left" vertical="top" wrapText="1"/>
    </xf>
    <xf numFmtId="0" fontId="1643" fillId="5" borderId="3" xfId="0" applyFont="1" applyFill="1" applyBorder="1" applyAlignment="1">
      <alignment horizontal="center" vertical="top"/>
    </xf>
    <xf numFmtId="0" fontId="1644" fillId="5" borderId="3" xfId="0" applyFont="1" applyFill="1" applyBorder="1" applyAlignment="1">
      <alignment horizontal="left" vertical="top" wrapText="1"/>
    </xf>
    <xf numFmtId="0" fontId="1645" fillId="5" borderId="3" xfId="0" applyFont="1" applyFill="1" applyBorder="1" applyAlignment="1">
      <alignment horizontal="left" vertical="top" wrapText="1"/>
    </xf>
    <xf numFmtId="0" fontId="1646" fillId="5" borderId="3" xfId="0" applyFont="1" applyFill="1" applyBorder="1" applyAlignment="1">
      <alignment horizontal="left" vertical="top" wrapText="1"/>
    </xf>
    <xf numFmtId="0" fontId="1647" fillId="5" borderId="3" xfId="0" applyFont="1" applyFill="1" applyBorder="1" applyAlignment="1">
      <alignment horizontal="left" vertical="top" wrapText="1"/>
    </xf>
    <xf numFmtId="0" fontId="1648" fillId="5" borderId="3" xfId="0" applyFont="1" applyFill="1" applyBorder="1" applyAlignment="1">
      <alignment horizontal="left" vertical="top" wrapText="1"/>
    </xf>
    <xf numFmtId="0" fontId="1649" fillId="5" borderId="3" xfId="0" applyFont="1" applyFill="1" applyBorder="1" applyAlignment="1">
      <alignment horizontal="left" vertical="top" wrapText="1"/>
    </xf>
    <xf numFmtId="0" fontId="1650" fillId="5" borderId="3" xfId="0" applyFont="1" applyFill="1" applyBorder="1" applyAlignment="1">
      <alignment horizontal="left" vertical="top" wrapText="1"/>
    </xf>
    <xf numFmtId="0" fontId="1651" fillId="5" borderId="3" xfId="0" applyFont="1" applyFill="1" applyBorder="1" applyAlignment="1">
      <alignment horizontal="left" vertical="top" wrapText="1"/>
    </xf>
    <xf numFmtId="0" fontId="1652" fillId="5" borderId="3" xfId="0" applyFont="1" applyFill="1" applyBorder="1" applyAlignment="1">
      <alignment horizontal="left" vertical="top" wrapText="1"/>
    </xf>
    <xf numFmtId="0" fontId="1653" fillId="5" borderId="3" xfId="0" applyFont="1" applyFill="1" applyBorder="1" applyAlignment="1">
      <alignment horizontal="center" vertical="top"/>
    </xf>
    <xf numFmtId="0" fontId="1654" fillId="5" borderId="3" xfId="0" applyFont="1" applyFill="1" applyBorder="1" applyAlignment="1">
      <alignment horizontal="center" vertical="top"/>
    </xf>
    <xf numFmtId="0" fontId="1655" fillId="5" borderId="3" xfId="0" applyFont="1" applyFill="1" applyBorder="1" applyAlignment="1">
      <alignment horizontal="center" vertical="top"/>
    </xf>
    <xf numFmtId="0" fontId="1656" fillId="5" borderId="3" xfId="0" applyFont="1" applyFill="1" applyBorder="1" applyAlignment="1">
      <alignment horizontal="center" vertical="top"/>
    </xf>
    <xf numFmtId="0" fontId="1657" fillId="5" borderId="3" xfId="0" applyFont="1" applyFill="1" applyBorder="1" applyAlignment="1">
      <alignment horizontal="center" vertical="top"/>
    </xf>
    <xf numFmtId="0" fontId="1658" fillId="5" borderId="3" xfId="0" applyFont="1" applyFill="1" applyBorder="1" applyAlignment="1">
      <alignment horizontal="center" vertical="top"/>
    </xf>
    <xf numFmtId="0" fontId="1659" fillId="5" borderId="3" xfId="0" applyFont="1" applyFill="1" applyBorder="1" applyAlignment="1">
      <alignment horizontal="center" vertical="top"/>
    </xf>
    <xf numFmtId="0" fontId="1660" fillId="5" borderId="3" xfId="0" applyFont="1" applyFill="1" applyBorder="1" applyAlignment="1">
      <alignment horizontal="left" vertical="top" wrapText="1"/>
    </xf>
    <xf numFmtId="0" fontId="1661" fillId="5" borderId="3" xfId="0" applyFont="1" applyFill="1" applyBorder="1" applyAlignment="1">
      <alignment horizontal="left" vertical="top" wrapText="1"/>
    </xf>
    <xf numFmtId="0" fontId="1662" fillId="5" borderId="3" xfId="0" applyFont="1" applyFill="1" applyBorder="1" applyAlignment="1">
      <alignment horizontal="left" vertical="top" wrapText="1"/>
    </xf>
    <xf numFmtId="0" fontId="1663" fillId="5" borderId="3" xfId="0" applyFont="1" applyFill="1" applyBorder="1" applyAlignment="1">
      <alignment horizontal="left" vertical="top" wrapText="1"/>
    </xf>
    <xf numFmtId="0" fontId="1664" fillId="5" borderId="3" xfId="0" applyFont="1" applyFill="1" applyBorder="1" applyAlignment="1">
      <alignment horizontal="left" vertical="top" wrapText="1"/>
    </xf>
    <xf numFmtId="0" fontId="1665" fillId="5" borderId="3" xfId="0" applyFont="1" applyFill="1" applyBorder="1" applyAlignment="1">
      <alignment horizontal="left" vertical="top" wrapText="1"/>
    </xf>
    <xf numFmtId="0" fontId="1666" fillId="5" borderId="3" xfId="0" applyFont="1" applyFill="1" applyBorder="1" applyAlignment="1">
      <alignment horizontal="left" vertical="top" wrapText="1"/>
    </xf>
    <xf numFmtId="0" fontId="1667" fillId="5" borderId="3" xfId="0" applyFont="1" applyFill="1" applyBorder="1" applyAlignment="1">
      <alignment horizontal="left" vertical="top" wrapText="1"/>
    </xf>
    <xf numFmtId="0" fontId="1668" fillId="5" borderId="3" xfId="0" applyFont="1" applyFill="1" applyBorder="1" applyAlignment="1">
      <alignment horizontal="left" vertical="top" wrapText="1"/>
    </xf>
    <xf numFmtId="0" fontId="1669" fillId="5" borderId="3" xfId="0" applyFont="1" applyFill="1" applyBorder="1" applyAlignment="1">
      <alignment horizontal="left" vertical="top" wrapText="1"/>
    </xf>
    <xf numFmtId="0" fontId="1670" fillId="5" borderId="3" xfId="0" applyFont="1" applyFill="1" applyBorder="1" applyAlignment="1">
      <alignment horizontal="left" vertical="top" wrapText="1"/>
    </xf>
    <xf numFmtId="0" fontId="1671" fillId="5" borderId="3" xfId="0" applyFont="1" applyFill="1" applyBorder="1" applyAlignment="1">
      <alignment horizontal="left" vertical="top" wrapText="1"/>
    </xf>
    <xf numFmtId="0" fontId="1672" fillId="5" borderId="3" xfId="0" applyFont="1" applyFill="1" applyBorder="1" applyAlignment="1">
      <alignment horizontal="left" vertical="top" wrapText="1"/>
    </xf>
    <xf numFmtId="0" fontId="1673" fillId="5" borderId="3" xfId="0" applyFont="1" applyFill="1" applyBorder="1" applyAlignment="1">
      <alignment horizontal="left" vertical="top" wrapText="1"/>
    </xf>
    <xf numFmtId="0" fontId="1674" fillId="5" borderId="3" xfId="0" applyFont="1" applyFill="1" applyBorder="1" applyAlignment="1">
      <alignment horizontal="left" vertical="top" wrapText="1"/>
    </xf>
    <xf numFmtId="0" fontId="1675" fillId="5" borderId="3" xfId="0" applyFont="1" applyFill="1" applyBorder="1" applyAlignment="1">
      <alignment horizontal="left" vertical="top" wrapText="1"/>
    </xf>
    <xf numFmtId="0" fontId="1676" fillId="5" borderId="3" xfId="0" applyFont="1" applyFill="1" applyBorder="1" applyAlignment="1">
      <alignment horizontal="left" vertical="top" wrapText="1"/>
    </xf>
    <xf numFmtId="0" fontId="1677" fillId="5" borderId="3" xfId="0" applyFont="1" applyFill="1" applyBorder="1" applyAlignment="1">
      <alignment horizontal="left" vertical="top" wrapText="1"/>
    </xf>
    <xf numFmtId="0" fontId="1678" fillId="5" borderId="3" xfId="0" applyFont="1" applyFill="1" applyBorder="1" applyAlignment="1">
      <alignment horizontal="left" vertical="top" wrapText="1"/>
    </xf>
    <xf numFmtId="0" fontId="1679" fillId="5" borderId="3" xfId="0" applyFont="1" applyFill="1" applyBorder="1" applyAlignment="1">
      <alignment horizontal="left" vertical="top" wrapText="1"/>
    </xf>
    <xf numFmtId="0" fontId="1680" fillId="5" borderId="3" xfId="0" applyFont="1" applyFill="1" applyBorder="1" applyAlignment="1">
      <alignment horizontal="left" vertical="top" wrapText="1"/>
    </xf>
    <xf numFmtId="0" fontId="1681" fillId="5" borderId="3" xfId="0" applyFont="1" applyFill="1" applyBorder="1" applyAlignment="1">
      <alignment horizontal="left" vertical="top" wrapText="1"/>
    </xf>
    <xf numFmtId="0" fontId="1682" fillId="5" borderId="3" xfId="0" applyFont="1" applyFill="1" applyBorder="1" applyAlignment="1">
      <alignment horizontal="center" vertical="top"/>
    </xf>
    <xf numFmtId="0" fontId="1683" fillId="5" borderId="3" xfId="0" applyFont="1" applyFill="1" applyBorder="1" applyAlignment="1">
      <alignment horizontal="center" vertical="top"/>
    </xf>
    <xf numFmtId="0" fontId="1684" fillId="5" borderId="3" xfId="0" applyFont="1" applyFill="1" applyBorder="1" applyAlignment="1">
      <alignment horizontal="center" vertical="top"/>
    </xf>
    <xf numFmtId="0" fontId="1685" fillId="5" borderId="3" xfId="0" applyFont="1" applyFill="1" applyBorder="1" applyAlignment="1">
      <alignment horizontal="center" vertical="top"/>
    </xf>
    <xf numFmtId="0" fontId="1686" fillId="5" borderId="3" xfId="0" applyFont="1" applyFill="1" applyBorder="1" applyAlignment="1">
      <alignment horizontal="center" vertical="top"/>
    </xf>
    <xf numFmtId="0" fontId="1687" fillId="5" borderId="3" xfId="0" applyFont="1" applyFill="1" applyBorder="1" applyAlignment="1">
      <alignment horizontal="center" vertical="top"/>
    </xf>
    <xf numFmtId="0" fontId="1688" fillId="3" borderId="3" xfId="0" applyFont="1" applyFill="1" applyBorder="1" applyAlignment="1">
      <alignment horizontal="left" vertical="top" wrapText="1"/>
    </xf>
    <xf numFmtId="0" fontId="1691" fillId="4" borderId="3" xfId="0" applyFont="1" applyFill="1" applyBorder="1" applyAlignment="1">
      <alignment horizontal="center" vertical="top" wrapText="1"/>
    </xf>
    <xf numFmtId="0" fontId="1692" fillId="5" borderId="3" xfId="0" applyFont="1" applyFill="1" applyBorder="1" applyAlignment="1">
      <alignment horizontal="left" vertical="top" wrapText="1"/>
    </xf>
    <xf numFmtId="0" fontId="1693" fillId="5" borderId="3" xfId="0" applyFont="1" applyFill="1" applyBorder="1" applyAlignment="1">
      <alignment horizontal="left" vertical="top" wrapText="1"/>
    </xf>
    <xf numFmtId="0" fontId="1694" fillId="5" borderId="3" xfId="0" applyFont="1" applyFill="1" applyBorder="1" applyAlignment="1">
      <alignment horizontal="left" vertical="top" wrapText="1"/>
    </xf>
    <xf numFmtId="0" fontId="1695" fillId="5" borderId="3" xfId="0" applyFont="1" applyFill="1" applyBorder="1" applyAlignment="1">
      <alignment horizontal="left" vertical="top" wrapText="1"/>
    </xf>
    <xf numFmtId="0" fontId="1696" fillId="5" borderId="3" xfId="0" applyFont="1" applyFill="1" applyBorder="1" applyAlignment="1">
      <alignment horizontal="left" vertical="top" wrapText="1"/>
    </xf>
    <xf numFmtId="0" fontId="1697" fillId="5" borderId="3" xfId="0" applyFont="1" applyFill="1" applyBorder="1" applyAlignment="1">
      <alignment horizontal="left" vertical="top" wrapText="1"/>
    </xf>
    <xf numFmtId="0" fontId="1698" fillId="5" borderId="3" xfId="0" applyFont="1" applyFill="1" applyBorder="1" applyAlignment="1">
      <alignment horizontal="left" vertical="top" wrapText="1"/>
    </xf>
    <xf numFmtId="0" fontId="1699" fillId="5" borderId="3" xfId="0" applyFont="1" applyFill="1" applyBorder="1" applyAlignment="1">
      <alignment horizontal="left" vertical="top" wrapText="1"/>
    </xf>
    <xf numFmtId="0" fontId="1700" fillId="5" borderId="3" xfId="0" applyFont="1" applyFill="1" applyBorder="1" applyAlignment="1">
      <alignment horizontal="left" vertical="top" wrapText="1"/>
    </xf>
    <xf numFmtId="0" fontId="1701" fillId="5" borderId="3" xfId="0" applyFont="1" applyFill="1" applyBorder="1" applyAlignment="1">
      <alignment horizontal="left" vertical="top" wrapText="1"/>
    </xf>
    <xf numFmtId="0" fontId="1702" fillId="5" borderId="3" xfId="0" applyFont="1" applyFill="1" applyBorder="1" applyAlignment="1">
      <alignment horizontal="left" vertical="top" wrapText="1"/>
    </xf>
    <xf numFmtId="0" fontId="1703" fillId="5" borderId="3" xfId="0" applyFont="1" applyFill="1" applyBorder="1" applyAlignment="1">
      <alignment horizontal="left" vertical="top" wrapText="1"/>
    </xf>
    <xf numFmtId="0" fontId="1704" fillId="5" borderId="3" xfId="0" applyFont="1" applyFill="1" applyBorder="1" applyAlignment="1">
      <alignment horizontal="left" vertical="top" wrapText="1"/>
    </xf>
    <xf numFmtId="0" fontId="1705" fillId="5" borderId="3" xfId="0" applyFont="1" applyFill="1" applyBorder="1" applyAlignment="1">
      <alignment horizontal="left" vertical="top" wrapText="1"/>
    </xf>
    <xf numFmtId="0" fontId="1706" fillId="5" borderId="3" xfId="0" applyFont="1" applyFill="1" applyBorder="1" applyAlignment="1">
      <alignment horizontal="left" vertical="top" wrapText="1"/>
    </xf>
    <xf numFmtId="0" fontId="1707" fillId="5" borderId="3" xfId="0" applyFont="1" applyFill="1" applyBorder="1" applyAlignment="1">
      <alignment horizontal="left" vertical="top" wrapText="1"/>
    </xf>
    <xf numFmtId="0" fontId="1708" fillId="5" borderId="3" xfId="0" applyFont="1" applyFill="1" applyBorder="1" applyAlignment="1">
      <alignment horizontal="left" vertical="top" wrapText="1"/>
    </xf>
    <xf numFmtId="0" fontId="1709" fillId="5" borderId="3" xfId="0" applyFont="1" applyFill="1" applyBorder="1" applyAlignment="1">
      <alignment horizontal="left" vertical="top" wrapText="1"/>
    </xf>
    <xf numFmtId="0" fontId="1710" fillId="5" borderId="3" xfId="0" applyFont="1" applyFill="1" applyBorder="1" applyAlignment="1">
      <alignment horizontal="left" vertical="top" wrapText="1"/>
    </xf>
    <xf numFmtId="0" fontId="1711" fillId="5" borderId="3" xfId="0" applyFont="1" applyFill="1" applyBorder="1" applyAlignment="1">
      <alignment horizontal="left" vertical="top" wrapText="1"/>
    </xf>
    <xf numFmtId="0" fontId="1712" fillId="5" borderId="3" xfId="0" applyFont="1" applyFill="1" applyBorder="1" applyAlignment="1">
      <alignment horizontal="left" vertical="top" wrapText="1"/>
    </xf>
    <xf numFmtId="0" fontId="1713" fillId="5" borderId="3" xfId="0" applyFont="1" applyFill="1" applyBorder="1" applyAlignment="1">
      <alignment horizontal="center" vertical="top"/>
    </xf>
    <xf numFmtId="0" fontId="1714" fillId="5" borderId="3" xfId="0" applyFont="1" applyFill="1" applyBorder="1" applyAlignment="1">
      <alignment horizontal="center" vertical="top"/>
    </xf>
    <xf numFmtId="0" fontId="1715" fillId="5" borderId="3" xfId="0" applyFont="1" applyFill="1" applyBorder="1" applyAlignment="1">
      <alignment horizontal="center" vertical="top"/>
    </xf>
    <xf numFmtId="0" fontId="1716" fillId="5" borderId="3" xfId="0" applyFont="1" applyFill="1" applyBorder="1" applyAlignment="1">
      <alignment horizontal="center" vertical="top"/>
    </xf>
    <xf numFmtId="0" fontId="1717" fillId="5" borderId="3" xfId="0" applyFont="1" applyFill="1" applyBorder="1" applyAlignment="1">
      <alignment horizontal="center" vertical="top"/>
    </xf>
    <xf numFmtId="0" fontId="1718" fillId="5" borderId="3" xfId="0" applyFont="1" applyFill="1" applyBorder="1" applyAlignment="1">
      <alignment horizontal="center" vertical="top"/>
    </xf>
    <xf numFmtId="0" fontId="1719" fillId="5" borderId="3" xfId="0" applyFont="1" applyFill="1" applyBorder="1" applyAlignment="1">
      <alignment horizontal="center" vertical="top"/>
    </xf>
    <xf numFmtId="0" fontId="1720" fillId="5" borderId="3" xfId="0" applyFont="1" applyFill="1" applyBorder="1" applyAlignment="1">
      <alignment horizontal="center" vertical="top"/>
    </xf>
    <xf numFmtId="0" fontId="1721" fillId="5" borderId="3" xfId="0" applyFont="1" applyFill="1" applyBorder="1" applyAlignment="1">
      <alignment horizontal="center" vertical="top"/>
    </xf>
    <xf numFmtId="0" fontId="1722" fillId="5" borderId="3" xfId="0" applyFont="1" applyFill="1" applyBorder="1" applyAlignment="1">
      <alignment horizontal="center" vertical="top"/>
    </xf>
    <xf numFmtId="0" fontId="1723" fillId="5" borderId="3" xfId="0" applyFont="1" applyFill="1" applyBorder="1" applyAlignment="1">
      <alignment horizontal="left" vertical="top" wrapText="1"/>
    </xf>
    <xf numFmtId="0" fontId="1724" fillId="5" borderId="3" xfId="0" applyFont="1" applyFill="1" applyBorder="1" applyAlignment="1">
      <alignment horizontal="left" vertical="top" wrapText="1"/>
    </xf>
    <xf numFmtId="0" fontId="1725" fillId="5" borderId="3" xfId="0" applyFont="1" applyFill="1" applyBorder="1" applyAlignment="1">
      <alignment horizontal="left" vertical="top" wrapText="1"/>
    </xf>
    <xf numFmtId="0" fontId="1726" fillId="5" borderId="3" xfId="0" applyFont="1" applyFill="1" applyBorder="1" applyAlignment="1">
      <alignment horizontal="left" vertical="top" wrapText="1"/>
    </xf>
    <xf numFmtId="0" fontId="1727" fillId="5" borderId="3" xfId="0" applyFont="1" applyFill="1" applyBorder="1" applyAlignment="1">
      <alignment horizontal="left" vertical="top" wrapText="1"/>
    </xf>
    <xf numFmtId="0" fontId="1728" fillId="5" borderId="3" xfId="0" applyFont="1" applyFill="1" applyBorder="1" applyAlignment="1">
      <alignment horizontal="left" vertical="top" wrapText="1"/>
    </xf>
    <xf numFmtId="0" fontId="1729" fillId="5" borderId="3" xfId="0" applyFont="1" applyFill="1" applyBorder="1" applyAlignment="1">
      <alignment horizontal="left" vertical="top" wrapText="1"/>
    </xf>
    <xf numFmtId="0" fontId="1730" fillId="5" borderId="3" xfId="0" applyFont="1" applyFill="1" applyBorder="1" applyAlignment="1">
      <alignment horizontal="left" vertical="top" wrapText="1"/>
    </xf>
    <xf numFmtId="0" fontId="1731" fillId="5" borderId="3" xfId="0" applyFont="1" applyFill="1" applyBorder="1" applyAlignment="1">
      <alignment horizontal="left" vertical="top" wrapText="1"/>
    </xf>
    <xf numFmtId="0" fontId="1732" fillId="5" borderId="3" xfId="0" applyFont="1" applyFill="1" applyBorder="1" applyAlignment="1">
      <alignment horizontal="left" vertical="top" wrapText="1"/>
    </xf>
    <xf numFmtId="0" fontId="1733" fillId="5" borderId="3" xfId="0" applyFont="1" applyFill="1" applyBorder="1" applyAlignment="1">
      <alignment horizontal="left" vertical="top" wrapText="1"/>
    </xf>
    <xf numFmtId="0" fontId="1734" fillId="5" borderId="3" xfId="0" applyFont="1" applyFill="1" applyBorder="1" applyAlignment="1">
      <alignment horizontal="left" vertical="top" wrapText="1"/>
    </xf>
    <xf numFmtId="0" fontId="1735" fillId="5" borderId="3" xfId="0" applyFont="1" applyFill="1" applyBorder="1" applyAlignment="1">
      <alignment horizontal="left" vertical="top" wrapText="1"/>
    </xf>
    <xf numFmtId="0" fontId="1736" fillId="5" borderId="3" xfId="0" applyFont="1" applyFill="1" applyBorder="1" applyAlignment="1">
      <alignment horizontal="left" vertical="top" wrapText="1"/>
    </xf>
    <xf numFmtId="0" fontId="1737" fillId="5" borderId="3" xfId="0" applyFont="1" applyFill="1" applyBorder="1" applyAlignment="1">
      <alignment horizontal="left" vertical="top" wrapText="1"/>
    </xf>
    <xf numFmtId="0" fontId="1738" fillId="5" borderId="3" xfId="0" applyFont="1" applyFill="1" applyBorder="1" applyAlignment="1">
      <alignment horizontal="left" vertical="top" wrapText="1"/>
    </xf>
    <xf numFmtId="0" fontId="1739" fillId="5" borderId="3" xfId="0" applyFont="1" applyFill="1" applyBorder="1" applyAlignment="1">
      <alignment horizontal="left" vertical="top" wrapText="1"/>
    </xf>
    <xf numFmtId="0" fontId="1740" fillId="5" borderId="3" xfId="0" applyFont="1" applyFill="1" applyBorder="1" applyAlignment="1">
      <alignment horizontal="left" vertical="top" wrapText="1"/>
    </xf>
    <xf numFmtId="0" fontId="1741" fillId="5" borderId="3" xfId="0" applyFont="1" applyFill="1" applyBorder="1" applyAlignment="1">
      <alignment horizontal="left" vertical="top" wrapText="1"/>
    </xf>
    <xf numFmtId="0" fontId="1742" fillId="5" borderId="3" xfId="0" applyFont="1" applyFill="1" applyBorder="1" applyAlignment="1">
      <alignment horizontal="left" vertical="top" wrapText="1"/>
    </xf>
    <xf numFmtId="0" fontId="1743" fillId="5" borderId="3" xfId="0" applyFont="1" applyFill="1" applyBorder="1" applyAlignment="1">
      <alignment horizontal="left" vertical="top" wrapText="1"/>
    </xf>
    <xf numFmtId="0" fontId="1744" fillId="5" borderId="3" xfId="0" applyFont="1" applyFill="1" applyBorder="1" applyAlignment="1">
      <alignment horizontal="left" vertical="top" wrapText="1"/>
    </xf>
    <xf numFmtId="0" fontId="1745" fillId="5" borderId="3" xfId="0" applyFont="1" applyFill="1" applyBorder="1" applyAlignment="1">
      <alignment horizontal="left" vertical="top" wrapText="1"/>
    </xf>
    <xf numFmtId="0" fontId="1746" fillId="5" borderId="3" xfId="0" applyFont="1" applyFill="1" applyBorder="1" applyAlignment="1">
      <alignment horizontal="left" vertical="top" wrapText="1"/>
    </xf>
    <xf numFmtId="0" fontId="1747" fillId="5" borderId="3" xfId="0" applyFont="1" applyFill="1" applyBorder="1" applyAlignment="1">
      <alignment horizontal="left" vertical="top" wrapText="1"/>
    </xf>
    <xf numFmtId="0" fontId="1753" fillId="5" borderId="3" xfId="0" applyFont="1" applyFill="1" applyBorder="1" applyAlignment="1">
      <alignment horizontal="left" vertical="top" wrapText="1"/>
    </xf>
    <xf numFmtId="0" fontId="1754" fillId="5" borderId="3" xfId="0" applyFont="1" applyFill="1" applyBorder="1" applyAlignment="1">
      <alignment horizontal="left" vertical="top" wrapText="1"/>
    </xf>
    <xf numFmtId="0" fontId="1755" fillId="5" borderId="3" xfId="0" applyFont="1" applyFill="1" applyBorder="1" applyAlignment="1">
      <alignment horizontal="left" vertical="top" wrapText="1"/>
    </xf>
    <xf numFmtId="0" fontId="1756" fillId="5" borderId="3" xfId="0" applyFont="1" applyFill="1" applyBorder="1" applyAlignment="1">
      <alignment horizontal="left" vertical="top" wrapText="1"/>
    </xf>
    <xf numFmtId="0" fontId="1757" fillId="5" borderId="3" xfId="0" applyFont="1" applyFill="1" applyBorder="1" applyAlignment="1">
      <alignment horizontal="left" vertical="top" wrapText="1"/>
    </xf>
    <xf numFmtId="0" fontId="1758" fillId="5" borderId="3" xfId="0" applyFont="1" applyFill="1" applyBorder="1" applyAlignment="1">
      <alignment horizontal="left" vertical="top" wrapText="1"/>
    </xf>
    <xf numFmtId="0" fontId="1759" fillId="5" borderId="3" xfId="0" applyFont="1" applyFill="1" applyBorder="1" applyAlignment="1">
      <alignment horizontal="left" vertical="top" wrapText="1"/>
    </xf>
    <xf numFmtId="0" fontId="1760" fillId="5" borderId="3" xfId="0" applyFont="1" applyFill="1" applyBorder="1" applyAlignment="1">
      <alignment horizontal="left" vertical="top" wrapText="1"/>
    </xf>
    <xf numFmtId="0" fontId="1761" fillId="5" borderId="3" xfId="0" applyFont="1" applyFill="1" applyBorder="1" applyAlignment="1">
      <alignment horizontal="left" vertical="top" wrapText="1"/>
    </xf>
    <xf numFmtId="0" fontId="1762" fillId="5" borderId="3" xfId="0" applyFont="1" applyFill="1" applyBorder="1" applyAlignment="1">
      <alignment horizontal="left" vertical="top" wrapText="1"/>
    </xf>
    <xf numFmtId="0" fontId="1763" fillId="5" borderId="3" xfId="0" applyFont="1" applyFill="1" applyBorder="1" applyAlignment="1">
      <alignment horizontal="center" vertical="top"/>
    </xf>
    <xf numFmtId="0" fontId="1764" fillId="5" borderId="3" xfId="0" applyFont="1" applyFill="1" applyBorder="1" applyAlignment="1">
      <alignment horizontal="center" vertical="top"/>
    </xf>
    <xf numFmtId="0" fontId="1765" fillId="5" borderId="3" xfId="0" applyFont="1" applyFill="1" applyBorder="1" applyAlignment="1">
      <alignment horizontal="center" vertical="top"/>
    </xf>
    <xf numFmtId="0" fontId="1766" fillId="5" borderId="3" xfId="0" applyFont="1" applyFill="1" applyBorder="1" applyAlignment="1">
      <alignment horizontal="center" vertical="top"/>
    </xf>
    <xf numFmtId="0" fontId="1767" fillId="5" borderId="3" xfId="0" applyFont="1" applyFill="1" applyBorder="1" applyAlignment="1">
      <alignment horizontal="center" vertical="top"/>
    </xf>
    <xf numFmtId="0" fontId="1768" fillId="5" borderId="3" xfId="0" applyFont="1" applyFill="1" applyBorder="1" applyAlignment="1">
      <alignment horizontal="center" vertical="top"/>
    </xf>
    <xf numFmtId="0" fontId="1769" fillId="5" borderId="3" xfId="0" applyFont="1" applyFill="1" applyBorder="1" applyAlignment="1">
      <alignment horizontal="center" vertical="top"/>
    </xf>
    <xf numFmtId="0" fontId="1770" fillId="5" borderId="3" xfId="0" applyFont="1" applyFill="1" applyBorder="1" applyAlignment="1">
      <alignment horizontal="left" vertical="top" wrapText="1"/>
    </xf>
    <xf numFmtId="0" fontId="1771" fillId="5" borderId="3" xfId="0" applyFont="1" applyFill="1" applyBorder="1" applyAlignment="1">
      <alignment horizontal="left" vertical="top" wrapText="1"/>
    </xf>
    <xf numFmtId="0" fontId="1772" fillId="5" borderId="3" xfId="0" applyFont="1" applyFill="1" applyBorder="1" applyAlignment="1">
      <alignment horizontal="left" vertical="top" wrapText="1"/>
    </xf>
    <xf numFmtId="0" fontId="1773" fillId="5" borderId="3" xfId="0" applyFont="1" applyFill="1" applyBorder="1" applyAlignment="1">
      <alignment horizontal="left" vertical="top" wrapText="1"/>
    </xf>
    <xf numFmtId="0" fontId="1774" fillId="5" borderId="3" xfId="0" applyFont="1" applyFill="1" applyBorder="1" applyAlignment="1">
      <alignment horizontal="left" vertical="top" wrapText="1"/>
    </xf>
    <xf numFmtId="0" fontId="1775" fillId="5" borderId="3" xfId="0" applyFont="1" applyFill="1" applyBorder="1" applyAlignment="1">
      <alignment horizontal="left" vertical="top" wrapText="1"/>
    </xf>
    <xf numFmtId="0" fontId="1776" fillId="5" borderId="3" xfId="0" applyFont="1" applyFill="1" applyBorder="1" applyAlignment="1">
      <alignment horizontal="left" vertical="top" wrapText="1"/>
    </xf>
    <xf numFmtId="0" fontId="1777" fillId="5" borderId="3" xfId="0" applyFont="1" applyFill="1" applyBorder="1" applyAlignment="1">
      <alignment horizontal="center" vertical="top"/>
    </xf>
    <xf numFmtId="0" fontId="1778" fillId="5" borderId="3" xfId="0" applyFont="1" applyFill="1" applyBorder="1" applyAlignment="1">
      <alignment horizontal="center" vertical="top"/>
    </xf>
    <xf numFmtId="0" fontId="1779" fillId="5" borderId="3" xfId="0" applyFont="1" applyFill="1" applyBorder="1" applyAlignment="1">
      <alignment horizontal="center" vertical="top"/>
    </xf>
    <xf numFmtId="0" fontId="1780" fillId="5" borderId="3" xfId="0" applyFont="1" applyFill="1" applyBorder="1" applyAlignment="1">
      <alignment horizontal="center" vertical="top"/>
    </xf>
    <xf numFmtId="0" fontId="1781" fillId="5" borderId="3" xfId="0" applyFont="1" applyFill="1" applyBorder="1" applyAlignment="1">
      <alignment horizontal="center" vertical="top"/>
    </xf>
    <xf numFmtId="0" fontId="1782" fillId="5" borderId="3" xfId="0" applyFont="1" applyFill="1" applyBorder="1" applyAlignment="1">
      <alignment horizontal="center" vertical="top"/>
    </xf>
    <xf numFmtId="0" fontId="1783" fillId="5" borderId="3" xfId="0" applyFont="1" applyFill="1" applyBorder="1" applyAlignment="1">
      <alignment horizontal="center" vertical="top"/>
    </xf>
    <xf numFmtId="0" fontId="1784" fillId="5" borderId="3" xfId="0" applyFont="1" applyFill="1" applyBorder="1" applyAlignment="1">
      <alignment horizontal="center" vertical="top"/>
    </xf>
    <xf numFmtId="0" fontId="1785" fillId="5" borderId="3" xfId="0" applyFont="1" applyFill="1" applyBorder="1" applyAlignment="1">
      <alignment horizontal="center" vertical="top"/>
    </xf>
    <xf numFmtId="0" fontId="1786" fillId="5" borderId="3" xfId="0" applyFont="1" applyFill="1" applyBorder="1" applyAlignment="1">
      <alignment horizontal="center" vertical="top"/>
    </xf>
    <xf numFmtId="0" fontId="1787" fillId="5" borderId="3" xfId="0" applyFont="1" applyFill="1" applyBorder="1" applyAlignment="1">
      <alignment horizontal="center" vertical="top"/>
    </xf>
    <xf numFmtId="0" fontId="1788" fillId="5" borderId="3" xfId="0" applyFont="1" applyFill="1" applyBorder="1" applyAlignment="1">
      <alignment horizontal="center" vertical="top"/>
    </xf>
    <xf numFmtId="0" fontId="1789" fillId="5" borderId="3" xfId="0" applyFont="1" applyFill="1" applyBorder="1" applyAlignment="1">
      <alignment horizontal="center" vertical="top"/>
    </xf>
    <xf numFmtId="0" fontId="1790" fillId="5" borderId="3" xfId="0" applyFont="1" applyFill="1" applyBorder="1" applyAlignment="1">
      <alignment horizontal="center" vertical="top"/>
    </xf>
    <xf numFmtId="0" fontId="1791" fillId="5" borderId="3" xfId="0" applyFont="1" applyFill="1" applyBorder="1" applyAlignment="1">
      <alignment horizontal="center" vertical="top"/>
    </xf>
    <xf numFmtId="0" fontId="1792" fillId="5" borderId="3" xfId="0" applyFont="1" applyFill="1" applyBorder="1" applyAlignment="1">
      <alignment horizontal="left" vertical="top" wrapText="1"/>
    </xf>
    <xf numFmtId="0" fontId="1793" fillId="5" borderId="3" xfId="0" applyFont="1" applyFill="1" applyBorder="1" applyAlignment="1">
      <alignment horizontal="left" vertical="top" wrapText="1"/>
    </xf>
    <xf numFmtId="0" fontId="1794" fillId="5" borderId="3" xfId="0" applyFont="1" applyFill="1" applyBorder="1" applyAlignment="1">
      <alignment horizontal="left" vertical="top" wrapText="1"/>
    </xf>
    <xf numFmtId="0" fontId="1795" fillId="5" borderId="3" xfId="0" applyFont="1" applyFill="1" applyBorder="1" applyAlignment="1">
      <alignment horizontal="left" vertical="top" wrapText="1"/>
    </xf>
    <xf numFmtId="0" fontId="1796" fillId="5" borderId="3" xfId="0" applyFont="1" applyFill="1" applyBorder="1" applyAlignment="1">
      <alignment horizontal="center" vertical="top"/>
    </xf>
    <xf numFmtId="0" fontId="1797" fillId="5" borderId="3" xfId="0" applyFont="1" applyFill="1" applyBorder="1" applyAlignment="1">
      <alignment horizontal="left" vertical="top" wrapText="1"/>
    </xf>
    <xf numFmtId="0" fontId="1798" fillId="5" borderId="3" xfId="0" applyFont="1" applyFill="1" applyBorder="1" applyAlignment="1">
      <alignment horizontal="left" vertical="top" wrapText="1"/>
    </xf>
    <xf numFmtId="0" fontId="1799" fillId="5" borderId="3" xfId="0" applyFont="1" applyFill="1" applyBorder="1" applyAlignment="1">
      <alignment horizontal="left" vertical="top" wrapText="1"/>
    </xf>
    <xf numFmtId="0" fontId="1800" fillId="5" borderId="3" xfId="0" applyFont="1" applyFill="1" applyBorder="1" applyAlignment="1">
      <alignment horizontal="left" vertical="top" wrapText="1"/>
    </xf>
    <xf numFmtId="0" fontId="1801" fillId="5" borderId="3" xfId="0" applyFont="1" applyFill="1" applyBorder="1" applyAlignment="1">
      <alignment horizontal="center" vertical="top"/>
    </xf>
    <xf numFmtId="0" fontId="1802" fillId="5" borderId="3" xfId="0" applyFont="1" applyFill="1" applyBorder="1" applyAlignment="1">
      <alignment horizontal="center" vertical="top"/>
    </xf>
    <xf numFmtId="0" fontId="1803" fillId="5" borderId="3" xfId="0" applyFont="1" applyFill="1" applyBorder="1" applyAlignment="1">
      <alignment horizontal="center" vertical="top"/>
    </xf>
    <xf numFmtId="0" fontId="1804" fillId="5" borderId="3" xfId="0" applyFont="1" applyFill="1" applyBorder="1" applyAlignment="1">
      <alignment horizontal="center" vertical="top"/>
    </xf>
    <xf numFmtId="0" fontId="1805" fillId="5" borderId="3" xfId="0" applyFont="1" applyFill="1" applyBorder="1" applyAlignment="1">
      <alignment horizontal="left" vertical="top" wrapText="1"/>
    </xf>
    <xf numFmtId="0" fontId="1808" fillId="5" borderId="3" xfId="0" applyFont="1" applyFill="1" applyBorder="1" applyAlignment="1">
      <alignment horizontal="center" vertical="top"/>
    </xf>
    <xf numFmtId="0" fontId="1875" fillId="5" borderId="3" xfId="0" applyFont="1" applyFill="1" applyBorder="1" applyAlignment="1">
      <alignment horizontal="left" vertical="top" wrapText="1"/>
    </xf>
    <xf numFmtId="0" fontId="1876" fillId="5" borderId="3" xfId="0" applyFont="1" applyFill="1" applyBorder="1" applyAlignment="1">
      <alignment horizontal="left" vertical="top" wrapText="1"/>
    </xf>
    <xf numFmtId="0" fontId="1877" fillId="5" borderId="3" xfId="0" applyFont="1" applyFill="1" applyBorder="1" applyAlignment="1">
      <alignment horizontal="left" vertical="top" wrapText="1"/>
    </xf>
    <xf numFmtId="0" fontId="1878" fillId="5" borderId="3" xfId="0" applyFont="1" applyFill="1" applyBorder="1" applyAlignment="1">
      <alignment horizontal="left" vertical="top" wrapText="1"/>
    </xf>
    <xf numFmtId="0" fontId="1879" fillId="5" borderId="3" xfId="0" applyFont="1" applyFill="1" applyBorder="1" applyAlignment="1">
      <alignment horizontal="left" vertical="top" wrapText="1"/>
    </xf>
    <xf numFmtId="0" fontId="1880" fillId="5" borderId="3" xfId="0" applyFont="1" applyFill="1" applyBorder="1" applyAlignment="1">
      <alignment horizontal="left" vertical="top" wrapText="1"/>
    </xf>
    <xf numFmtId="0" fontId="1881" fillId="5" borderId="3" xfId="0" applyFont="1" applyFill="1" applyBorder="1" applyAlignment="1">
      <alignment horizontal="left" vertical="top" wrapText="1"/>
    </xf>
    <xf numFmtId="0" fontId="1882" fillId="5" borderId="3" xfId="0" applyFont="1" applyFill="1" applyBorder="1" applyAlignment="1">
      <alignment horizontal="center" vertical="top"/>
    </xf>
    <xf numFmtId="0" fontId="1883" fillId="5" borderId="3" xfId="0" applyFont="1" applyFill="1" applyBorder="1" applyAlignment="1">
      <alignment horizontal="center" vertical="top"/>
    </xf>
    <xf numFmtId="0" fontId="1884" fillId="5" borderId="3" xfId="0" applyFont="1" applyFill="1" applyBorder="1" applyAlignment="1">
      <alignment horizontal="center" vertical="top"/>
    </xf>
    <xf numFmtId="0" fontId="1885" fillId="5" borderId="3" xfId="0" applyFont="1" applyFill="1" applyBorder="1" applyAlignment="1">
      <alignment horizontal="left" vertical="top" wrapText="1"/>
    </xf>
    <xf numFmtId="0" fontId="1886" fillId="5" borderId="3" xfId="0" applyFont="1" applyFill="1" applyBorder="1" applyAlignment="1">
      <alignment horizontal="left" vertical="top" wrapText="1"/>
    </xf>
    <xf numFmtId="0" fontId="1887" fillId="5" borderId="3" xfId="0" applyFont="1" applyFill="1" applyBorder="1" applyAlignment="1">
      <alignment horizontal="left" vertical="top" wrapText="1"/>
    </xf>
    <xf numFmtId="0" fontId="1888" fillId="5" borderId="3" xfId="0" applyFont="1" applyFill="1" applyBorder="1" applyAlignment="1">
      <alignment horizontal="left" vertical="top" wrapText="1"/>
    </xf>
    <xf numFmtId="0" fontId="1889" fillId="5" borderId="3" xfId="0" applyFont="1" applyFill="1" applyBorder="1" applyAlignment="1">
      <alignment horizontal="center" vertical="top"/>
    </xf>
    <xf numFmtId="0" fontId="1890" fillId="5" borderId="3" xfId="0" applyFont="1" applyFill="1" applyBorder="1" applyAlignment="1">
      <alignment horizontal="left" vertical="top" wrapText="1"/>
    </xf>
    <xf numFmtId="0" fontId="1891" fillId="5" borderId="3" xfId="0" applyFont="1" applyFill="1" applyBorder="1" applyAlignment="1">
      <alignment horizontal="left" vertical="top" wrapText="1"/>
    </xf>
    <xf numFmtId="0" fontId="1892" fillId="5" borderId="3" xfId="0" applyFont="1" applyFill="1" applyBorder="1" applyAlignment="1">
      <alignment horizontal="left" vertical="top" wrapText="1"/>
    </xf>
    <xf numFmtId="0" fontId="1893" fillId="5" borderId="3" xfId="0" applyFont="1" applyFill="1" applyBorder="1" applyAlignment="1">
      <alignment horizontal="left" vertical="top" wrapText="1"/>
    </xf>
    <xf numFmtId="0" fontId="1894" fillId="5" borderId="3" xfId="0" applyFont="1" applyFill="1" applyBorder="1" applyAlignment="1">
      <alignment horizontal="left" vertical="top" wrapText="1"/>
    </xf>
    <xf numFmtId="0" fontId="1895" fillId="5" borderId="3" xfId="0" applyFont="1" applyFill="1" applyBorder="1" applyAlignment="1">
      <alignment horizontal="left" vertical="top" wrapText="1"/>
    </xf>
    <xf numFmtId="0" fontId="1896" fillId="5" borderId="3" xfId="0" applyFont="1" applyFill="1" applyBorder="1" applyAlignment="1">
      <alignment horizontal="left" vertical="top" wrapText="1"/>
    </xf>
    <xf numFmtId="0" fontId="1897" fillId="5" borderId="3" xfId="0" applyFont="1" applyFill="1" applyBorder="1" applyAlignment="1">
      <alignment horizontal="left" vertical="top" wrapText="1"/>
    </xf>
    <xf numFmtId="0" fontId="1898" fillId="5" borderId="3" xfId="0" applyFont="1" applyFill="1" applyBorder="1" applyAlignment="1">
      <alignment horizontal="left" vertical="top" wrapText="1"/>
    </xf>
    <xf numFmtId="0" fontId="1899" fillId="5" borderId="3" xfId="0" applyFont="1" applyFill="1" applyBorder="1" applyAlignment="1">
      <alignment horizontal="center" vertical="top"/>
    </xf>
    <xf numFmtId="0" fontId="1900" fillId="5" borderId="3" xfId="0" applyFont="1" applyFill="1" applyBorder="1" applyAlignment="1">
      <alignment horizontal="center" vertical="top"/>
    </xf>
    <xf numFmtId="0" fontId="1901" fillId="5" borderId="3" xfId="0" applyFont="1" applyFill="1" applyBorder="1" applyAlignment="1">
      <alignment horizontal="center" vertical="top"/>
    </xf>
    <xf numFmtId="0" fontId="1902" fillId="5" borderId="3" xfId="0" applyFont="1" applyFill="1" applyBorder="1" applyAlignment="1">
      <alignment horizontal="center" vertical="top"/>
    </xf>
    <xf numFmtId="0" fontId="1903" fillId="5" borderId="3" xfId="0" applyFont="1" applyFill="1" applyBorder="1" applyAlignment="1">
      <alignment horizontal="center" vertical="top"/>
    </xf>
    <xf numFmtId="0" fontId="1904" fillId="5" borderId="3" xfId="0" applyFont="1" applyFill="1" applyBorder="1" applyAlignment="1">
      <alignment horizontal="center" vertical="top"/>
    </xf>
    <xf numFmtId="0" fontId="1905" fillId="5" borderId="3" xfId="0" applyFont="1" applyFill="1" applyBorder="1" applyAlignment="1">
      <alignment horizontal="center" vertical="top"/>
    </xf>
    <xf numFmtId="0" fontId="1906" fillId="5" borderId="3" xfId="0" applyFont="1" applyFill="1" applyBorder="1" applyAlignment="1">
      <alignment horizontal="center" vertical="top"/>
    </xf>
    <xf numFmtId="0" fontId="1907" fillId="5" borderId="3" xfId="0" applyFont="1" applyFill="1" applyBorder="1" applyAlignment="1">
      <alignment horizontal="center" vertical="top"/>
    </xf>
    <xf numFmtId="0" fontId="1908" fillId="5" borderId="3" xfId="0" applyFont="1" applyFill="1" applyBorder="1" applyAlignment="1">
      <alignment horizontal="center" vertical="top"/>
    </xf>
    <xf numFmtId="0" fontId="1909" fillId="5" borderId="3" xfId="0" applyFont="1" applyFill="1" applyBorder="1" applyAlignment="1">
      <alignment horizontal="center" vertical="top"/>
    </xf>
    <xf numFmtId="0" fontId="1910" fillId="5" borderId="3" xfId="0" applyFont="1" applyFill="1" applyBorder="1" applyAlignment="1">
      <alignment horizontal="center" vertical="top"/>
    </xf>
    <xf numFmtId="0" fontId="1911" fillId="5" borderId="3" xfId="0" applyFont="1" applyFill="1" applyBorder="1" applyAlignment="1">
      <alignment horizontal="center" vertical="top"/>
    </xf>
    <xf numFmtId="0" fontId="1912" fillId="5" borderId="3" xfId="0" applyFont="1" applyFill="1" applyBorder="1" applyAlignment="1">
      <alignment horizontal="center" vertical="top"/>
    </xf>
    <xf numFmtId="0" fontId="1913" fillId="5" borderId="3" xfId="0" applyFont="1" applyFill="1" applyBorder="1" applyAlignment="1">
      <alignment horizontal="left" vertical="top" wrapText="1"/>
    </xf>
    <xf numFmtId="0" fontId="1914" fillId="5" borderId="3" xfId="0" applyFont="1" applyFill="1" applyBorder="1" applyAlignment="1">
      <alignment horizontal="left" vertical="top" wrapText="1"/>
    </xf>
    <xf numFmtId="0" fontId="1915" fillId="5" borderId="3" xfId="0" applyFont="1" applyFill="1" applyBorder="1" applyAlignment="1">
      <alignment horizontal="left" vertical="top" wrapText="1"/>
    </xf>
    <xf numFmtId="0" fontId="1916" fillId="5" borderId="3" xfId="0" applyFont="1" applyFill="1" applyBorder="1" applyAlignment="1">
      <alignment horizontal="center" vertical="top"/>
    </xf>
    <xf numFmtId="0" fontId="1917" fillId="5" borderId="3" xfId="0" applyFont="1" applyFill="1" applyBorder="1" applyAlignment="1">
      <alignment horizontal="left" vertical="top" wrapText="1"/>
    </xf>
    <xf numFmtId="0" fontId="1918" fillId="5" borderId="3" xfId="0" applyFont="1" applyFill="1" applyBorder="1" applyAlignment="1">
      <alignment horizontal="left" vertical="top" wrapText="1"/>
    </xf>
    <xf numFmtId="0" fontId="1919" fillId="5" borderId="3" xfId="0" applyFont="1" applyFill="1" applyBorder="1" applyAlignment="1">
      <alignment horizontal="left" vertical="top" wrapText="1"/>
    </xf>
    <xf numFmtId="0" fontId="1920" fillId="5" borderId="3" xfId="0" applyFont="1" applyFill="1" applyBorder="1" applyAlignment="1">
      <alignment horizontal="center" vertical="top"/>
    </xf>
    <xf numFmtId="0" fontId="1921" fillId="5" borderId="3" xfId="0" applyFont="1" applyFill="1" applyBorder="1" applyAlignment="1">
      <alignment horizontal="left" vertical="top" wrapText="1"/>
    </xf>
    <xf numFmtId="0" fontId="1922" fillId="5" borderId="3" xfId="0" applyFont="1" applyFill="1" applyBorder="1" applyAlignment="1">
      <alignment horizontal="left" vertical="top" wrapText="1"/>
    </xf>
    <xf numFmtId="0" fontId="1923" fillId="5" borderId="3" xfId="0" applyFont="1" applyFill="1" applyBorder="1" applyAlignment="1">
      <alignment horizontal="left" vertical="top" wrapText="1"/>
    </xf>
    <xf numFmtId="0" fontId="1924" fillId="5" borderId="3" xfId="0" applyFont="1" applyFill="1" applyBorder="1" applyAlignment="1">
      <alignment horizontal="left" vertical="top" wrapText="1"/>
    </xf>
    <xf numFmtId="0" fontId="1925" fillId="5" borderId="3" xfId="0" applyFont="1" applyFill="1" applyBorder="1" applyAlignment="1">
      <alignment horizontal="left" vertical="top" wrapText="1"/>
    </xf>
    <xf numFmtId="0" fontId="1926" fillId="5" borderId="3" xfId="0" applyFont="1" applyFill="1" applyBorder="1" applyAlignment="1">
      <alignment horizontal="left" vertical="top" wrapText="1"/>
    </xf>
    <xf numFmtId="0" fontId="1927" fillId="5" borderId="3" xfId="0" applyFont="1" applyFill="1" applyBorder="1" applyAlignment="1">
      <alignment horizontal="left" vertical="top" wrapText="1"/>
    </xf>
    <xf numFmtId="0" fontId="1928" fillId="5" borderId="3" xfId="0" applyFont="1" applyFill="1" applyBorder="1" applyAlignment="1">
      <alignment horizontal="left" vertical="top" wrapText="1"/>
    </xf>
    <xf numFmtId="0" fontId="1929" fillId="5" borderId="3" xfId="0" applyFont="1" applyFill="1" applyBorder="1" applyAlignment="1">
      <alignment horizontal="left" vertical="top" wrapText="1"/>
    </xf>
    <xf numFmtId="0" fontId="1930" fillId="5" borderId="3" xfId="0" applyFont="1" applyFill="1" applyBorder="1" applyAlignment="1">
      <alignment horizontal="left" vertical="top" wrapText="1"/>
    </xf>
    <xf numFmtId="0" fontId="1931" fillId="5" borderId="3" xfId="0" applyFont="1" applyFill="1" applyBorder="1" applyAlignment="1">
      <alignment horizontal="left" vertical="top" wrapText="1"/>
    </xf>
    <xf numFmtId="0" fontId="1932" fillId="5" borderId="3" xfId="0" applyFont="1" applyFill="1" applyBorder="1" applyAlignment="1">
      <alignment horizontal="left" vertical="top" wrapText="1"/>
    </xf>
    <xf numFmtId="0" fontId="1933" fillId="5" borderId="3" xfId="0" applyFont="1" applyFill="1" applyBorder="1" applyAlignment="1">
      <alignment horizontal="left" vertical="top" wrapText="1"/>
    </xf>
    <xf numFmtId="0" fontId="1934" fillId="5" borderId="3" xfId="0" applyFont="1" applyFill="1" applyBorder="1" applyAlignment="1">
      <alignment horizontal="left" vertical="top" wrapText="1"/>
    </xf>
    <xf numFmtId="0" fontId="1935" fillId="5" borderId="3" xfId="0" applyFont="1" applyFill="1" applyBorder="1" applyAlignment="1">
      <alignment horizontal="left" vertical="top" wrapText="1"/>
    </xf>
    <xf numFmtId="0" fontId="1936" fillId="5" borderId="3" xfId="0" applyFont="1" applyFill="1" applyBorder="1" applyAlignment="1">
      <alignment horizontal="left" vertical="top" wrapText="1"/>
    </xf>
    <xf numFmtId="0" fontId="1953" fillId="5" borderId="3" xfId="0" applyFont="1" applyFill="1" applyBorder="1" applyAlignment="1">
      <alignment horizontal="center" vertical="top"/>
    </xf>
    <xf numFmtId="0" fontId="1954" fillId="5" borderId="3" xfId="0" applyFont="1" applyFill="1" applyBorder="1" applyAlignment="1">
      <alignment horizontal="center" vertical="top"/>
    </xf>
    <xf numFmtId="0" fontId="1955" fillId="5" borderId="3" xfId="0" applyFont="1" applyFill="1" applyBorder="1" applyAlignment="1">
      <alignment horizontal="center" vertical="top"/>
    </xf>
    <xf numFmtId="0" fontId="1956" fillId="5" borderId="3" xfId="0" applyFont="1" applyFill="1" applyBorder="1" applyAlignment="1">
      <alignment horizontal="left" vertical="top" wrapText="1"/>
    </xf>
    <xf numFmtId="0" fontId="1957" fillId="5" borderId="3" xfId="0" applyFont="1" applyFill="1" applyBorder="1" applyAlignment="1">
      <alignment horizontal="left" vertical="top" wrapText="1"/>
    </xf>
    <xf numFmtId="0" fontId="1958" fillId="5" borderId="3" xfId="0" applyFont="1" applyFill="1" applyBorder="1" applyAlignment="1">
      <alignment horizontal="left" vertical="top" wrapText="1"/>
    </xf>
    <xf numFmtId="0" fontId="1959" fillId="5" borderId="3" xfId="0" applyFont="1" applyFill="1" applyBorder="1" applyAlignment="1">
      <alignment horizontal="left" vertical="top" wrapText="1"/>
    </xf>
    <xf numFmtId="0" fontId="1960" fillId="5" borderId="3" xfId="0" applyFont="1" applyFill="1" applyBorder="1" applyAlignment="1">
      <alignment horizontal="center" vertical="top"/>
    </xf>
    <xf numFmtId="0" fontId="1961" fillId="5" borderId="3" xfId="0" applyFont="1" applyFill="1" applyBorder="1" applyAlignment="1">
      <alignment horizontal="center" vertical="top"/>
    </xf>
    <xf numFmtId="0" fontId="1962" fillId="5" borderId="3" xfId="0" applyFont="1" applyFill="1" applyBorder="1" applyAlignment="1">
      <alignment horizontal="center" vertical="top"/>
    </xf>
    <xf numFmtId="0" fontId="1963" fillId="5" borderId="3" xfId="0" applyFont="1" applyFill="1" applyBorder="1" applyAlignment="1">
      <alignment horizontal="center" vertical="top"/>
    </xf>
    <xf numFmtId="0" fontId="1964" fillId="5" borderId="3" xfId="0" applyFont="1" applyFill="1" applyBorder="1" applyAlignment="1">
      <alignment horizontal="center" vertical="top"/>
    </xf>
    <xf numFmtId="0" fontId="1965" fillId="5" borderId="3" xfId="0" applyFont="1" applyFill="1" applyBorder="1" applyAlignment="1">
      <alignment horizontal="center" vertical="top"/>
    </xf>
    <xf numFmtId="0" fontId="1966" fillId="5" borderId="3" xfId="0" applyFont="1" applyFill="1" applyBorder="1" applyAlignment="1">
      <alignment horizontal="center" vertical="top"/>
    </xf>
    <xf numFmtId="0" fontId="1967" fillId="5" borderId="3" xfId="0" applyFont="1" applyFill="1" applyBorder="1" applyAlignment="1">
      <alignment horizontal="center" vertical="top"/>
    </xf>
    <xf numFmtId="0" fontId="1968" fillId="5" borderId="3" xfId="0" applyFont="1" applyFill="1" applyBorder="1" applyAlignment="1">
      <alignment horizontal="center" vertical="top"/>
    </xf>
    <xf numFmtId="0" fontId="1969" fillId="5" borderId="3" xfId="0" applyFont="1" applyFill="1" applyBorder="1" applyAlignment="1">
      <alignment horizontal="center" vertical="top"/>
    </xf>
    <xf numFmtId="0" fontId="1970" fillId="5" borderId="3" xfId="0" applyFont="1" applyFill="1" applyBorder="1" applyAlignment="1">
      <alignment horizontal="center" vertical="top"/>
    </xf>
    <xf numFmtId="0" fontId="1971" fillId="5" borderId="3" xfId="0" applyFont="1" applyFill="1" applyBorder="1" applyAlignment="1">
      <alignment horizontal="center" vertical="top"/>
    </xf>
    <xf numFmtId="0" fontId="1972" fillId="5" borderId="3" xfId="0" applyFont="1" applyFill="1" applyBorder="1" applyAlignment="1">
      <alignment horizontal="center" vertical="top"/>
    </xf>
    <xf numFmtId="0" fontId="1973" fillId="5" borderId="3" xfId="0" applyFont="1" applyFill="1" applyBorder="1" applyAlignment="1">
      <alignment horizontal="center" vertical="top"/>
    </xf>
    <xf numFmtId="0" fontId="1974" fillId="5" borderId="3" xfId="0" applyFont="1" applyFill="1" applyBorder="1" applyAlignment="1">
      <alignment horizontal="left" vertical="top" wrapText="1"/>
    </xf>
    <xf numFmtId="0" fontId="1975" fillId="5" borderId="3" xfId="0" applyFont="1" applyFill="1" applyBorder="1" applyAlignment="1">
      <alignment horizontal="left" vertical="top" wrapText="1"/>
    </xf>
    <xf numFmtId="0" fontId="1976" fillId="5" borderId="3" xfId="0" applyFont="1" applyFill="1" applyBorder="1" applyAlignment="1">
      <alignment horizontal="left" vertical="top" wrapText="1"/>
    </xf>
    <xf numFmtId="0" fontId="1977" fillId="5" borderId="3" xfId="0" applyFont="1" applyFill="1" applyBorder="1" applyAlignment="1">
      <alignment horizontal="left" vertical="top" wrapText="1"/>
    </xf>
    <xf numFmtId="0" fontId="1978" fillId="5" borderId="3" xfId="0" applyFont="1" applyFill="1" applyBorder="1" applyAlignment="1">
      <alignment horizontal="left" vertical="top" wrapText="1"/>
    </xf>
    <xf numFmtId="0" fontId="1979" fillId="5" borderId="3" xfId="0" applyFont="1" applyFill="1" applyBorder="1" applyAlignment="1">
      <alignment horizontal="left" vertical="top" wrapText="1"/>
    </xf>
    <xf numFmtId="0" fontId="1980" fillId="5" borderId="3" xfId="0" applyFont="1" applyFill="1" applyBorder="1" applyAlignment="1">
      <alignment horizontal="left" vertical="top" wrapText="1"/>
    </xf>
    <xf numFmtId="0" fontId="1981" fillId="5" borderId="3" xfId="0" applyFont="1" applyFill="1" applyBorder="1" applyAlignment="1">
      <alignment horizontal="left" vertical="top" wrapText="1"/>
    </xf>
    <xf numFmtId="0" fontId="1982" fillId="5" borderId="3" xfId="0" applyFont="1" applyFill="1" applyBorder="1" applyAlignment="1">
      <alignment horizontal="left" vertical="top" wrapText="1"/>
    </xf>
    <xf numFmtId="0" fontId="1983" fillId="5" borderId="3" xfId="0" applyFont="1" applyFill="1" applyBorder="1" applyAlignment="1">
      <alignment horizontal="left" vertical="top" wrapText="1"/>
    </xf>
    <xf numFmtId="0" fontId="1984" fillId="5" borderId="3" xfId="0" applyFont="1" applyFill="1" applyBorder="1" applyAlignment="1">
      <alignment horizontal="left" vertical="top" wrapText="1"/>
    </xf>
    <xf numFmtId="0" fontId="1985" fillId="5" borderId="3" xfId="0" applyFont="1" applyFill="1" applyBorder="1" applyAlignment="1">
      <alignment horizontal="left" vertical="top" wrapText="1"/>
    </xf>
    <xf numFmtId="0" fontId="1986" fillId="5" borderId="3" xfId="0" applyFont="1" applyFill="1" applyBorder="1" applyAlignment="1">
      <alignment horizontal="left" vertical="top" wrapText="1"/>
    </xf>
    <xf numFmtId="0" fontId="1987" fillId="5" borderId="3" xfId="0" applyFont="1" applyFill="1" applyBorder="1" applyAlignment="1">
      <alignment horizontal="left" vertical="top" wrapText="1"/>
    </xf>
    <xf numFmtId="0" fontId="1988" fillId="5" borderId="3" xfId="0" applyFont="1" applyFill="1" applyBorder="1" applyAlignment="1">
      <alignment horizontal="left" vertical="top" wrapText="1"/>
    </xf>
    <xf numFmtId="0" fontId="1989" fillId="5" borderId="3" xfId="0" applyFont="1" applyFill="1" applyBorder="1" applyAlignment="1">
      <alignment horizontal="left" vertical="top" wrapText="1"/>
    </xf>
    <xf numFmtId="0" fontId="1990" fillId="5" borderId="3" xfId="0" applyFont="1" applyFill="1" applyBorder="1" applyAlignment="1">
      <alignment horizontal="left" vertical="top" wrapText="1"/>
    </xf>
    <xf numFmtId="0" fontId="1991" fillId="5" borderId="3" xfId="0" applyFont="1" applyFill="1" applyBorder="1" applyAlignment="1">
      <alignment horizontal="left" vertical="top" wrapText="1"/>
    </xf>
    <xf numFmtId="0" fontId="1992" fillId="5" borderId="3" xfId="0" applyFont="1" applyFill="1" applyBorder="1" applyAlignment="1">
      <alignment horizontal="left" vertical="top" wrapText="1"/>
    </xf>
    <xf numFmtId="0" fontId="1993" fillId="5" borderId="3" xfId="0" applyFont="1" applyFill="1" applyBorder="1" applyAlignment="1">
      <alignment horizontal="left" vertical="top" wrapText="1"/>
    </xf>
    <xf numFmtId="0" fontId="1994" fillId="5" borderId="3" xfId="0" applyFont="1" applyFill="1" applyBorder="1" applyAlignment="1">
      <alignment horizontal="left" vertical="top" wrapText="1"/>
    </xf>
    <xf numFmtId="0" fontId="1995" fillId="5" borderId="3" xfId="0" applyFont="1" applyFill="1" applyBorder="1" applyAlignment="1">
      <alignment horizontal="left" vertical="top" wrapText="1"/>
    </xf>
    <xf numFmtId="0" fontId="1996" fillId="5" borderId="3" xfId="0" applyFont="1" applyFill="1" applyBorder="1" applyAlignment="1">
      <alignment horizontal="left" vertical="top" wrapText="1"/>
    </xf>
    <xf numFmtId="0" fontId="1997" fillId="5" borderId="3" xfId="0" applyFont="1" applyFill="1" applyBorder="1" applyAlignment="1">
      <alignment horizontal="left" vertical="top" wrapText="1"/>
    </xf>
    <xf numFmtId="0" fontId="1998" fillId="5" borderId="3" xfId="0" applyFont="1" applyFill="1" applyBorder="1" applyAlignment="1">
      <alignment horizontal="left" vertical="top" wrapText="1"/>
    </xf>
    <xf numFmtId="0" fontId="2042" fillId="5" borderId="3" xfId="0" applyFont="1" applyFill="1" applyBorder="1" applyAlignment="1">
      <alignment horizontal="center" vertical="top"/>
    </xf>
    <xf numFmtId="0" fontId="2061" fillId="5" borderId="3" xfId="0" applyFont="1" applyFill="1" applyBorder="1" applyAlignment="1">
      <alignment horizontal="left" vertical="top" wrapText="1"/>
    </xf>
    <xf numFmtId="0" fontId="2062" fillId="5" borderId="3" xfId="0" applyFont="1" applyFill="1" applyBorder="1" applyAlignment="1">
      <alignment horizontal="center" vertical="top"/>
    </xf>
    <xf numFmtId="0" fontId="2063" fillId="5" borderId="3" xfId="0" applyFont="1" applyFill="1" applyBorder="1" applyAlignment="1">
      <alignment horizontal="left" vertical="top" wrapText="1"/>
    </xf>
    <xf numFmtId="0" fontId="2064" fillId="5" borderId="3" xfId="0" applyFont="1" applyFill="1" applyBorder="1" applyAlignment="1">
      <alignment horizontal="left" vertical="top" wrapText="1"/>
    </xf>
    <xf numFmtId="0" fontId="2065" fillId="5" borderId="3" xfId="0" applyFont="1" applyFill="1" applyBorder="1" applyAlignment="1">
      <alignment horizontal="left" vertical="top" wrapText="1"/>
    </xf>
    <xf numFmtId="0" fontId="2066" fillId="5" borderId="3" xfId="0" applyFont="1" applyFill="1" applyBorder="1" applyAlignment="1">
      <alignment horizontal="left" vertical="top" wrapText="1"/>
    </xf>
    <xf numFmtId="0" fontId="2067" fillId="5" borderId="3" xfId="0" applyFont="1" applyFill="1" applyBorder="1" applyAlignment="1">
      <alignment horizontal="left" vertical="top" wrapText="1"/>
    </xf>
    <xf numFmtId="0" fontId="2068" fillId="5" borderId="3" xfId="0" applyFont="1" applyFill="1" applyBorder="1" applyAlignment="1">
      <alignment horizontal="left" vertical="top" wrapText="1"/>
    </xf>
    <xf numFmtId="0" fontId="2069" fillId="3" borderId="3" xfId="0" applyFont="1" applyFill="1" applyBorder="1" applyAlignment="1">
      <alignment horizontal="left" vertical="top" wrapText="1"/>
    </xf>
    <xf numFmtId="0" fontId="2071" fillId="4" borderId="3" xfId="0" applyFont="1" applyFill="1" applyBorder="1" applyAlignment="1">
      <alignment horizontal="center" vertical="top" wrapText="1"/>
    </xf>
    <xf numFmtId="0" fontId="2081" fillId="5" borderId="3" xfId="0" applyFont="1" applyFill="1" applyBorder="1" applyAlignment="1">
      <alignment horizontal="left" vertical="top" wrapText="1"/>
    </xf>
    <xf numFmtId="0" fontId="2082" fillId="5" borderId="3" xfId="0" applyFont="1" applyFill="1" applyBorder="1" applyAlignment="1">
      <alignment horizontal="left" vertical="top" wrapText="1"/>
    </xf>
    <xf numFmtId="0" fontId="2083" fillId="5" borderId="3" xfId="0" applyFont="1" applyFill="1" applyBorder="1" applyAlignment="1">
      <alignment horizontal="left" vertical="top" wrapText="1"/>
    </xf>
    <xf numFmtId="0" fontId="2084" fillId="5" borderId="3" xfId="0" applyFont="1" applyFill="1" applyBorder="1" applyAlignment="1">
      <alignment horizontal="left" vertical="top" wrapText="1"/>
    </xf>
    <xf numFmtId="0" fontId="2085" fillId="5" borderId="3" xfId="0" applyFont="1" applyFill="1" applyBorder="1" applyAlignment="1">
      <alignment horizontal="left" vertical="top" wrapText="1"/>
    </xf>
    <xf numFmtId="0" fontId="2086" fillId="5" borderId="3" xfId="0" applyFont="1" applyFill="1" applyBorder="1" applyAlignment="1">
      <alignment horizontal="left" vertical="top" wrapText="1"/>
    </xf>
    <xf numFmtId="0" fontId="2087" fillId="5" borderId="3" xfId="0" applyFont="1" applyFill="1" applyBorder="1" applyAlignment="1">
      <alignment horizontal="left" vertical="top" wrapText="1"/>
    </xf>
    <xf numFmtId="0" fontId="2088" fillId="5" borderId="3" xfId="0" applyFont="1" applyFill="1" applyBorder="1" applyAlignment="1">
      <alignment horizontal="center" vertical="top"/>
    </xf>
    <xf numFmtId="0" fontId="2089" fillId="5" borderId="3" xfId="0" applyFont="1" applyFill="1" applyBorder="1" applyAlignment="1">
      <alignment horizontal="left" vertical="top" wrapText="1"/>
    </xf>
    <xf numFmtId="0" fontId="2090" fillId="5" borderId="3" xfId="0" applyFont="1" applyFill="1" applyBorder="1" applyAlignment="1">
      <alignment horizontal="left" vertical="top" wrapText="1"/>
    </xf>
    <xf numFmtId="0" fontId="2130" fillId="5" borderId="3" xfId="0" applyFont="1" applyFill="1" applyBorder="1" applyAlignment="1">
      <alignment horizontal="left" vertical="top" wrapText="1"/>
    </xf>
    <xf numFmtId="0" fontId="2131" fillId="5" borderId="3" xfId="0" applyFont="1" applyFill="1" applyBorder="1" applyAlignment="1">
      <alignment horizontal="left" vertical="top" wrapText="1"/>
    </xf>
    <xf numFmtId="0" fontId="2132" fillId="5" borderId="3" xfId="0" applyFont="1" applyFill="1" applyBorder="1" applyAlignment="1">
      <alignment horizontal="left" vertical="top" wrapText="1"/>
    </xf>
    <xf numFmtId="0" fontId="2133" fillId="5" borderId="3" xfId="0" applyFont="1" applyFill="1" applyBorder="1" applyAlignment="1">
      <alignment horizontal="center" vertical="top"/>
    </xf>
    <xf numFmtId="0" fontId="2134" fillId="5" borderId="3" xfId="0" applyFont="1" applyFill="1" applyBorder="1" applyAlignment="1">
      <alignment horizontal="center" vertical="top"/>
    </xf>
    <xf numFmtId="0" fontId="2135" fillId="5" borderId="3" xfId="0" applyFont="1" applyFill="1" applyBorder="1" applyAlignment="1">
      <alignment horizontal="center" vertical="top"/>
    </xf>
    <xf numFmtId="0" fontId="2136" fillId="5" borderId="3" xfId="0" applyFont="1" applyFill="1" applyBorder="1" applyAlignment="1">
      <alignment horizontal="center" vertical="top"/>
    </xf>
    <xf numFmtId="0" fontId="2137" fillId="5" borderId="3" xfId="0" applyFont="1" applyFill="1" applyBorder="1" applyAlignment="1">
      <alignment horizontal="left" vertical="top" wrapText="1"/>
    </xf>
    <xf numFmtId="0" fontId="2138" fillId="5" borderId="3" xfId="0" applyFont="1" applyFill="1" applyBorder="1" applyAlignment="1">
      <alignment horizontal="left" vertical="top" wrapText="1"/>
    </xf>
    <xf numFmtId="0" fontId="2139" fillId="5" borderId="3" xfId="0" applyFont="1" applyFill="1" applyBorder="1" applyAlignment="1">
      <alignment horizontal="left" vertical="top" wrapText="1"/>
    </xf>
    <xf numFmtId="0" fontId="2140" fillId="5" borderId="3" xfId="0" applyFont="1" applyFill="1" applyBorder="1" applyAlignment="1">
      <alignment horizontal="left" vertical="top" wrapText="1"/>
    </xf>
    <xf numFmtId="0" fontId="2141" fillId="5" borderId="3" xfId="0" applyFont="1" applyFill="1" applyBorder="1" applyAlignment="1">
      <alignment horizontal="left" vertical="top" wrapText="1"/>
    </xf>
    <xf numFmtId="0" fontId="2142" fillId="5" borderId="3" xfId="0" applyFont="1" applyFill="1" applyBorder="1" applyAlignment="1">
      <alignment horizontal="left" vertical="top" wrapText="1"/>
    </xf>
    <xf numFmtId="0" fontId="2143" fillId="5" borderId="3" xfId="0" applyFont="1" applyFill="1" applyBorder="1" applyAlignment="1">
      <alignment horizontal="left" vertical="top" wrapText="1"/>
    </xf>
    <xf numFmtId="0" fontId="2144" fillId="5" borderId="3" xfId="0" applyFont="1" applyFill="1" applyBorder="1" applyAlignment="1">
      <alignment horizontal="left" vertical="top" wrapText="1"/>
    </xf>
    <xf numFmtId="0" fontId="2145" fillId="5" borderId="3" xfId="0" applyFont="1" applyFill="1" applyBorder="1" applyAlignment="1">
      <alignment horizontal="left" vertical="top" wrapText="1"/>
    </xf>
    <xf numFmtId="0" fontId="2146" fillId="5" borderId="3" xfId="0" applyFont="1" applyFill="1" applyBorder="1" applyAlignment="1">
      <alignment horizontal="left" vertical="top" wrapText="1"/>
    </xf>
    <xf numFmtId="0" fontId="2147" fillId="5" borderId="3" xfId="0" applyFont="1" applyFill="1" applyBorder="1" applyAlignment="1">
      <alignment horizontal="left" vertical="top" wrapText="1"/>
    </xf>
    <xf numFmtId="0" fontId="2148" fillId="5" borderId="3" xfId="0" applyFont="1" applyFill="1" applyBorder="1" applyAlignment="1">
      <alignment horizontal="left" vertical="top" wrapText="1"/>
    </xf>
    <xf numFmtId="0" fontId="2149" fillId="5" borderId="3" xfId="0" applyFont="1" applyFill="1" applyBorder="1" applyAlignment="1">
      <alignment horizontal="left" vertical="top" wrapText="1"/>
    </xf>
    <xf numFmtId="0" fontId="2150" fillId="5" borderId="3" xfId="0" applyFont="1" applyFill="1" applyBorder="1" applyAlignment="1">
      <alignment horizontal="center" vertical="top"/>
    </xf>
    <xf numFmtId="0" fontId="2151" fillId="5" borderId="3" xfId="0" applyFont="1" applyFill="1" applyBorder="1" applyAlignment="1">
      <alignment horizontal="center" vertical="top"/>
    </xf>
    <xf numFmtId="0" fontId="2152" fillId="5" borderId="3" xfId="0" applyFont="1" applyFill="1" applyBorder="1" applyAlignment="1">
      <alignment horizontal="center" vertical="top"/>
    </xf>
    <xf numFmtId="0" fontId="2153" fillId="5" borderId="3" xfId="0" applyFont="1" applyFill="1" applyBorder="1" applyAlignment="1">
      <alignment horizontal="center" vertical="top"/>
    </xf>
    <xf numFmtId="0" fontId="2154" fillId="5" borderId="3" xfId="0" applyFont="1" applyFill="1" applyBorder="1" applyAlignment="1">
      <alignment horizontal="center" vertical="top"/>
    </xf>
    <xf numFmtId="0" fontId="2155" fillId="5" borderId="3" xfId="0" applyFont="1" applyFill="1" applyBorder="1" applyAlignment="1">
      <alignment horizontal="center" vertical="top"/>
    </xf>
    <xf numFmtId="0" fontId="2156" fillId="5" borderId="3" xfId="0" applyFont="1" applyFill="1" applyBorder="1" applyAlignment="1">
      <alignment horizontal="center" vertical="top"/>
    </xf>
    <xf numFmtId="0" fontId="2157" fillId="5" borderId="3" xfId="0" applyFont="1" applyFill="1" applyBorder="1" applyAlignment="1">
      <alignment horizontal="center" vertical="top"/>
    </xf>
    <xf numFmtId="0" fontId="2158" fillId="5" borderId="3" xfId="0" applyFont="1" applyFill="1" applyBorder="1" applyAlignment="1">
      <alignment horizontal="center" vertical="top"/>
    </xf>
    <xf numFmtId="0" fontId="2159" fillId="5" borderId="3" xfId="0" applyFont="1" applyFill="1" applyBorder="1" applyAlignment="1">
      <alignment horizontal="center" vertical="top"/>
    </xf>
    <xf numFmtId="0" fontId="2160" fillId="5" borderId="3" xfId="0" applyFont="1" applyFill="1" applyBorder="1" applyAlignment="1">
      <alignment horizontal="center" vertical="top"/>
    </xf>
    <xf numFmtId="0" fontId="2161" fillId="5" borderId="3" xfId="0" applyFont="1" applyFill="1" applyBorder="1" applyAlignment="1">
      <alignment horizontal="center" vertical="top"/>
    </xf>
    <xf numFmtId="0" fontId="2162" fillId="5" borderId="3" xfId="0" applyFont="1" applyFill="1" applyBorder="1" applyAlignment="1">
      <alignment horizontal="center" vertical="top"/>
    </xf>
    <xf numFmtId="0" fontId="2163" fillId="5" borderId="3" xfId="0" applyFont="1" applyFill="1" applyBorder="1" applyAlignment="1">
      <alignment horizontal="center" vertical="top"/>
    </xf>
    <xf numFmtId="0" fontId="2164" fillId="5" borderId="3" xfId="0" applyFont="1" applyFill="1" applyBorder="1" applyAlignment="1">
      <alignment horizontal="center" vertical="top"/>
    </xf>
    <xf numFmtId="0" fontId="2165" fillId="5" borderId="3" xfId="0" applyFont="1" applyFill="1" applyBorder="1" applyAlignment="1">
      <alignment horizontal="center" vertical="top"/>
    </xf>
    <xf numFmtId="0" fontId="2166" fillId="5" borderId="3" xfId="0" applyFont="1" applyFill="1" applyBorder="1" applyAlignment="1">
      <alignment horizontal="center" vertical="top"/>
    </xf>
    <xf numFmtId="0" fontId="2167" fillId="5" borderId="3" xfId="0" applyFont="1" applyFill="1" applyBorder="1" applyAlignment="1">
      <alignment horizontal="left" vertical="top" wrapText="1"/>
    </xf>
    <xf numFmtId="0" fontId="2168" fillId="5" borderId="3" xfId="0" applyFont="1" applyFill="1" applyBorder="1" applyAlignment="1">
      <alignment horizontal="center" vertical="top"/>
    </xf>
    <xf numFmtId="0" fontId="2169" fillId="5" borderId="3" xfId="0" applyFont="1" applyFill="1" applyBorder="1" applyAlignment="1">
      <alignment horizontal="center" vertical="top"/>
    </xf>
    <xf numFmtId="0" fontId="2170" fillId="5" borderId="3" xfId="0" applyFont="1" applyFill="1" applyBorder="1" applyAlignment="1">
      <alignment horizontal="center" vertical="top"/>
    </xf>
    <xf numFmtId="0" fontId="2171" fillId="5" borderId="3" xfId="0" applyFont="1" applyFill="1" applyBorder="1" applyAlignment="1">
      <alignment horizontal="center" vertical="top"/>
    </xf>
    <xf numFmtId="0" fontId="2172" fillId="5" borderId="3" xfId="0" applyFont="1" applyFill="1" applyBorder="1" applyAlignment="1">
      <alignment horizontal="center" vertical="top"/>
    </xf>
    <xf numFmtId="0" fontId="2173" fillId="5" borderId="3" xfId="0" applyFont="1" applyFill="1" applyBorder="1" applyAlignment="1">
      <alignment horizontal="center" vertical="top"/>
    </xf>
    <xf numFmtId="0" fontId="2174" fillId="5" borderId="3" xfId="0" applyFont="1" applyFill="1" applyBorder="1" applyAlignment="1">
      <alignment horizontal="left" vertical="top" wrapText="1"/>
    </xf>
    <xf numFmtId="0" fontId="2175" fillId="5" borderId="3" xfId="0" applyFont="1" applyFill="1" applyBorder="1" applyAlignment="1">
      <alignment horizontal="center" vertical="top"/>
    </xf>
    <xf numFmtId="0" fontId="2176" fillId="5" borderId="3" xfId="0" applyFont="1" applyFill="1" applyBorder="1" applyAlignment="1">
      <alignment horizontal="center" vertical="top"/>
    </xf>
    <xf numFmtId="0" fontId="2177" fillId="5" borderId="3" xfId="0" applyFont="1" applyFill="1" applyBorder="1" applyAlignment="1">
      <alignment horizontal="left" vertical="top" wrapText="1"/>
    </xf>
    <xf numFmtId="0" fontId="2178" fillId="5" borderId="3" xfId="0" applyFont="1" applyFill="1" applyBorder="1" applyAlignment="1">
      <alignment horizontal="center" vertical="top"/>
    </xf>
    <xf numFmtId="0" fontId="2179" fillId="5" borderId="3" xfId="0" applyFont="1" applyFill="1" applyBorder="1" applyAlignment="1">
      <alignment horizontal="center" vertical="top"/>
    </xf>
    <xf numFmtId="0" fontId="2180" fillId="5" borderId="3" xfId="0" applyFont="1" applyFill="1" applyBorder="1" applyAlignment="1">
      <alignment horizontal="left" vertical="top" wrapText="1"/>
    </xf>
    <xf numFmtId="0" fontId="2181" fillId="5" borderId="3" xfId="0" applyFont="1" applyFill="1" applyBorder="1" applyAlignment="1">
      <alignment horizontal="center" vertical="top"/>
    </xf>
    <xf numFmtId="0" fontId="2182" fillId="5" borderId="3" xfId="0" applyFont="1" applyFill="1" applyBorder="1" applyAlignment="1">
      <alignment horizontal="left" vertical="top" wrapText="1"/>
    </xf>
    <xf numFmtId="0" fontId="2183" fillId="5" borderId="3" xfId="0" applyFont="1" applyFill="1" applyBorder="1" applyAlignment="1">
      <alignment horizontal="left" vertical="top" wrapText="1"/>
    </xf>
    <xf numFmtId="0" fontId="2184" fillId="5" borderId="3" xfId="0" applyFont="1" applyFill="1" applyBorder="1" applyAlignment="1">
      <alignment horizontal="center" vertical="top"/>
    </xf>
    <xf numFmtId="0" fontId="2185" fillId="5" borderId="3" xfId="0" applyFont="1" applyFill="1" applyBorder="1" applyAlignment="1">
      <alignment horizontal="center" vertical="top"/>
    </xf>
    <xf numFmtId="0" fontId="2186" fillId="5" borderId="3" xfId="0" applyFont="1" applyFill="1" applyBorder="1" applyAlignment="1">
      <alignment horizontal="left" vertical="top" wrapText="1"/>
    </xf>
    <xf numFmtId="0" fontId="2187" fillId="5" borderId="3" xfId="0" applyFont="1" applyFill="1" applyBorder="1" applyAlignment="1">
      <alignment horizontal="left" vertical="top" wrapText="1"/>
    </xf>
    <xf numFmtId="0" fontId="2188" fillId="5" borderId="3" xfId="0" applyFont="1" applyFill="1" applyBorder="1" applyAlignment="1">
      <alignment horizontal="left" vertical="top" wrapText="1"/>
    </xf>
    <xf numFmtId="0" fontId="2189" fillId="5" borderId="3" xfId="0" applyFont="1" applyFill="1" applyBorder="1" applyAlignment="1">
      <alignment horizontal="left" vertical="top" wrapText="1"/>
    </xf>
    <xf numFmtId="0" fontId="2190" fillId="5" borderId="3" xfId="0" applyFont="1" applyFill="1" applyBorder="1" applyAlignment="1">
      <alignment horizontal="left" vertical="top" wrapText="1"/>
    </xf>
    <xf numFmtId="0" fontId="2205" fillId="5" borderId="3" xfId="0" applyFont="1" applyFill="1" applyBorder="1" applyAlignment="1">
      <alignment horizontal="left" vertical="top" wrapText="1"/>
    </xf>
    <xf numFmtId="0" fontId="2206" fillId="5" borderId="3" xfId="0" applyFont="1" applyFill="1" applyBorder="1" applyAlignment="1">
      <alignment horizontal="left" vertical="top" wrapText="1"/>
    </xf>
    <xf numFmtId="0" fontId="2207" fillId="5" borderId="3" xfId="0" applyFont="1" applyFill="1" applyBorder="1" applyAlignment="1">
      <alignment horizontal="left" vertical="top" wrapText="1"/>
    </xf>
    <xf numFmtId="0" fontId="2208" fillId="5" borderId="3" xfId="0" applyFont="1" applyFill="1" applyBorder="1" applyAlignment="1">
      <alignment horizontal="left" vertical="top" wrapText="1"/>
    </xf>
    <xf numFmtId="0" fontId="2209" fillId="5" borderId="3" xfId="0" applyFont="1" applyFill="1" applyBorder="1" applyAlignment="1">
      <alignment horizontal="left" vertical="top" wrapText="1"/>
    </xf>
    <xf numFmtId="0" fontId="2210" fillId="5" borderId="3" xfId="0" applyFont="1" applyFill="1" applyBorder="1" applyAlignment="1">
      <alignment horizontal="center" vertical="top"/>
    </xf>
    <xf numFmtId="0" fontId="2211" fillId="5" borderId="3" xfId="0" applyFont="1" applyFill="1" applyBorder="1" applyAlignment="1">
      <alignment horizontal="center" vertical="top"/>
    </xf>
    <xf numFmtId="0" fontId="2212" fillId="5" borderId="3" xfId="0" applyFont="1" applyFill="1" applyBorder="1" applyAlignment="1">
      <alignment horizontal="center" vertical="top"/>
    </xf>
    <xf numFmtId="0" fontId="2213" fillId="5" borderId="3" xfId="0" applyFont="1" applyFill="1" applyBorder="1" applyAlignment="1">
      <alignment horizontal="center" vertical="top"/>
    </xf>
    <xf numFmtId="0" fontId="2214" fillId="5" borderId="3" xfId="0" applyFont="1" applyFill="1" applyBorder="1" applyAlignment="1">
      <alignment horizontal="left" vertical="top" wrapText="1"/>
    </xf>
    <xf numFmtId="0" fontId="2215" fillId="5" borderId="3" xfId="0" applyFont="1" applyFill="1" applyBorder="1" applyAlignment="1">
      <alignment horizontal="left" vertical="top" wrapText="1"/>
    </xf>
    <xf numFmtId="0" fontId="2216" fillId="5" borderId="3" xfId="0" applyFont="1" applyFill="1" applyBorder="1" applyAlignment="1">
      <alignment horizontal="left" vertical="top" wrapText="1"/>
    </xf>
    <xf numFmtId="0" fontId="2217" fillId="5" borderId="3" xfId="0" applyFont="1" applyFill="1" applyBorder="1" applyAlignment="1">
      <alignment horizontal="left" vertical="top" wrapText="1"/>
    </xf>
    <xf numFmtId="0" fontId="2218" fillId="5" borderId="3" xfId="0" applyFont="1" applyFill="1" applyBorder="1" applyAlignment="1">
      <alignment horizontal="left" vertical="top" wrapText="1"/>
    </xf>
    <xf numFmtId="0" fontId="2219" fillId="5" borderId="3" xfId="0" applyFont="1" applyFill="1" applyBorder="1" applyAlignment="1">
      <alignment horizontal="left" vertical="top" wrapText="1"/>
    </xf>
    <xf numFmtId="0" fontId="2220" fillId="5" borderId="3" xfId="0" applyFont="1" applyFill="1" applyBorder="1" applyAlignment="1">
      <alignment horizontal="left" vertical="top" wrapText="1"/>
    </xf>
    <xf numFmtId="0" fontId="2221" fillId="5" borderId="3" xfId="0" applyFont="1" applyFill="1" applyBorder="1" applyAlignment="1">
      <alignment horizontal="left" vertical="top" wrapText="1"/>
    </xf>
    <xf numFmtId="0" fontId="2222" fillId="5" borderId="3" xfId="0" applyFont="1" applyFill="1" applyBorder="1" applyAlignment="1">
      <alignment horizontal="left" vertical="top" wrapText="1"/>
    </xf>
    <xf numFmtId="0" fontId="2223" fillId="5" borderId="3" xfId="0" applyFont="1" applyFill="1" applyBorder="1" applyAlignment="1">
      <alignment horizontal="left" vertical="top" wrapText="1"/>
    </xf>
    <xf numFmtId="0" fontId="2224" fillId="5" borderId="3" xfId="0" applyFont="1" applyFill="1" applyBorder="1" applyAlignment="1">
      <alignment horizontal="left" vertical="top" wrapText="1"/>
    </xf>
    <xf numFmtId="0" fontId="2225" fillId="5" borderId="3" xfId="0" applyFont="1" applyFill="1" applyBorder="1" applyAlignment="1">
      <alignment horizontal="left" vertical="top" wrapText="1"/>
    </xf>
    <xf numFmtId="0" fontId="2226" fillId="5" borderId="3" xfId="0" applyFont="1" applyFill="1" applyBorder="1" applyAlignment="1">
      <alignment horizontal="left" vertical="top" wrapText="1"/>
    </xf>
    <xf numFmtId="0" fontId="2239" fillId="5" borderId="3" xfId="0" applyFont="1" applyFill="1" applyBorder="1" applyAlignment="1">
      <alignment horizontal="center" vertical="top"/>
    </xf>
    <xf numFmtId="0" fontId="2240" fillId="5" borderId="3" xfId="0" applyFont="1" applyFill="1" applyBorder="1" applyAlignment="1">
      <alignment horizontal="center" vertical="top"/>
    </xf>
    <xf numFmtId="0" fontId="2241" fillId="5" borderId="3" xfId="0" applyFont="1" applyFill="1" applyBorder="1" applyAlignment="1">
      <alignment horizontal="left" vertical="top" wrapText="1"/>
    </xf>
    <xf numFmtId="0" fontId="2242" fillId="5" borderId="3" xfId="0" applyFont="1" applyFill="1" applyBorder="1" applyAlignment="1">
      <alignment horizontal="left" vertical="top" wrapText="1"/>
    </xf>
    <xf numFmtId="0" fontId="2243" fillId="5" borderId="3" xfId="0" applyFont="1" applyFill="1" applyBorder="1" applyAlignment="1">
      <alignment horizontal="left" vertical="top" wrapText="1"/>
    </xf>
    <xf numFmtId="0" fontId="2244" fillId="5" borderId="3" xfId="0" applyFont="1" applyFill="1" applyBorder="1" applyAlignment="1">
      <alignment horizontal="left" vertical="top" wrapText="1"/>
    </xf>
    <xf numFmtId="0" fontId="2245" fillId="5" borderId="3" xfId="0" applyFont="1" applyFill="1" applyBorder="1" applyAlignment="1">
      <alignment horizontal="left" vertical="top" wrapText="1"/>
    </xf>
    <xf numFmtId="0" fontId="2246" fillId="5" borderId="3" xfId="0" applyFont="1" applyFill="1" applyBorder="1" applyAlignment="1">
      <alignment horizontal="left" vertical="top" wrapText="1"/>
    </xf>
    <xf numFmtId="0" fontId="2247" fillId="5" borderId="3" xfId="0" applyFont="1" applyFill="1" applyBorder="1" applyAlignment="1">
      <alignment horizontal="left" vertical="top" wrapText="1"/>
    </xf>
    <xf numFmtId="0" fontId="2248" fillId="5" borderId="3" xfId="0" applyFont="1" applyFill="1" applyBorder="1" applyAlignment="1">
      <alignment horizontal="left" vertical="top" wrapText="1"/>
    </xf>
    <xf numFmtId="0" fontId="2249" fillId="5" borderId="3" xfId="0" applyFont="1" applyFill="1" applyBorder="1" applyAlignment="1">
      <alignment horizontal="left" vertical="top" wrapText="1"/>
    </xf>
    <xf numFmtId="0" fontId="2250" fillId="5" borderId="3" xfId="0" applyFont="1" applyFill="1" applyBorder="1" applyAlignment="1">
      <alignment horizontal="left" vertical="top" wrapText="1"/>
    </xf>
    <xf numFmtId="0" fontId="2251" fillId="5" borderId="3" xfId="0" applyFont="1" applyFill="1" applyBorder="1" applyAlignment="1">
      <alignment horizontal="left" vertical="top" wrapText="1"/>
    </xf>
    <xf numFmtId="0" fontId="2252" fillId="5" borderId="3" xfId="0" applyFont="1" applyFill="1" applyBorder="1" applyAlignment="1">
      <alignment horizontal="left" vertical="top" wrapText="1"/>
    </xf>
    <xf numFmtId="0" fontId="2253" fillId="5" borderId="3" xfId="0" applyFont="1" applyFill="1" applyBorder="1" applyAlignment="1">
      <alignment horizontal="left" vertical="top" wrapText="1"/>
    </xf>
    <xf numFmtId="0" fontId="2254" fillId="5" borderId="3" xfId="0" applyFont="1" applyFill="1" applyBorder="1" applyAlignment="1">
      <alignment horizontal="left" vertical="top" wrapText="1"/>
    </xf>
    <xf numFmtId="0" fontId="2255" fillId="5" borderId="3" xfId="0" applyFont="1" applyFill="1" applyBorder="1" applyAlignment="1">
      <alignment horizontal="left" vertical="top" wrapText="1"/>
    </xf>
    <xf numFmtId="0" fontId="2256" fillId="5" borderId="3" xfId="0" applyFont="1" applyFill="1" applyBorder="1" applyAlignment="1">
      <alignment horizontal="left" vertical="top" wrapText="1"/>
    </xf>
    <xf numFmtId="0" fontId="2257" fillId="5" borderId="3" xfId="0" applyFont="1" applyFill="1" applyBorder="1" applyAlignment="1">
      <alignment horizontal="left" vertical="top" wrapText="1"/>
    </xf>
    <xf numFmtId="0" fontId="2258" fillId="5" borderId="3" xfId="0" applyFont="1" applyFill="1" applyBorder="1" applyAlignment="1">
      <alignment horizontal="left" vertical="top" wrapText="1"/>
    </xf>
    <xf numFmtId="0" fontId="2259" fillId="5" borderId="3" xfId="0" applyFont="1" applyFill="1" applyBorder="1" applyAlignment="1">
      <alignment horizontal="left" vertical="top" wrapText="1"/>
    </xf>
    <xf numFmtId="0" fontId="2260" fillId="5" borderId="3" xfId="0" applyFont="1" applyFill="1" applyBorder="1" applyAlignment="1">
      <alignment horizontal="left" vertical="top" wrapText="1"/>
    </xf>
    <xf numFmtId="0" fontId="2263" fillId="4" borderId="3" xfId="0" applyFont="1" applyFill="1" applyBorder="1" applyAlignment="1">
      <alignment horizontal="center" vertical="top" wrapText="1"/>
    </xf>
    <xf numFmtId="0" fontId="2267" fillId="5" borderId="3" xfId="0" applyFont="1" applyFill="1" applyBorder="1" applyAlignment="1">
      <alignment horizontal="left" vertical="top" wrapText="1"/>
    </xf>
    <xf numFmtId="0" fontId="2268" fillId="5" borderId="3" xfId="0" applyFont="1" applyFill="1" applyBorder="1" applyAlignment="1">
      <alignment horizontal="left" vertical="top" wrapText="1"/>
    </xf>
    <xf numFmtId="0" fontId="2269" fillId="5" borderId="3" xfId="0" applyFont="1" applyFill="1" applyBorder="1" applyAlignment="1">
      <alignment horizontal="left" vertical="top" wrapText="1"/>
    </xf>
    <xf numFmtId="0" fontId="2270" fillId="5" borderId="3" xfId="0" applyFont="1" applyFill="1" applyBorder="1" applyAlignment="1">
      <alignment horizontal="left" vertical="top" wrapText="1"/>
    </xf>
    <xf numFmtId="0" fontId="2277" fillId="5" borderId="3" xfId="0" applyFont="1" applyFill="1" applyBorder="1" applyAlignment="1">
      <alignment horizontal="left" vertical="top" wrapText="1"/>
    </xf>
    <xf numFmtId="0" fontId="2278" fillId="5" borderId="3" xfId="0" applyFont="1" applyFill="1" applyBorder="1" applyAlignment="1">
      <alignment horizontal="left" vertical="top" wrapText="1"/>
    </xf>
    <xf numFmtId="0" fontId="2279" fillId="5" borderId="3" xfId="0" applyFont="1" applyFill="1" applyBorder="1" applyAlignment="1">
      <alignment horizontal="left" vertical="top" wrapText="1"/>
    </xf>
    <xf numFmtId="0" fontId="2280" fillId="5" borderId="3" xfId="0" applyFont="1" applyFill="1" applyBorder="1" applyAlignment="1">
      <alignment horizontal="left" vertical="top" wrapText="1"/>
    </xf>
    <xf numFmtId="0" fontId="2281" fillId="5" borderId="3" xfId="0" applyFont="1" applyFill="1" applyBorder="1" applyAlignment="1">
      <alignment horizontal="left" vertical="top" wrapText="1"/>
    </xf>
    <xf numFmtId="0" fontId="2282" fillId="5" borderId="3" xfId="0" applyFont="1" applyFill="1" applyBorder="1" applyAlignment="1">
      <alignment horizontal="left" vertical="top" wrapText="1"/>
    </xf>
    <xf numFmtId="0" fontId="2283" fillId="5" borderId="3" xfId="0" applyFont="1" applyFill="1" applyBorder="1" applyAlignment="1">
      <alignment horizontal="left" vertical="top" wrapText="1"/>
    </xf>
    <xf numFmtId="0" fontId="2284" fillId="5" borderId="3" xfId="0" applyFont="1" applyFill="1" applyBorder="1" applyAlignment="1">
      <alignment horizontal="left" vertical="top" wrapText="1"/>
    </xf>
    <xf numFmtId="0" fontId="2285" fillId="5" borderId="3" xfId="0" applyFont="1" applyFill="1" applyBorder="1" applyAlignment="1">
      <alignment horizontal="left" vertical="top" wrapText="1"/>
    </xf>
    <xf numFmtId="0" fontId="2286" fillId="5" borderId="3" xfId="0" applyFont="1" applyFill="1" applyBorder="1" applyAlignment="1">
      <alignment horizontal="left" vertical="top" wrapText="1"/>
    </xf>
    <xf numFmtId="0" fontId="2289" fillId="5" borderId="3" xfId="0" applyFont="1" applyFill="1" applyBorder="1" applyAlignment="1">
      <alignment horizontal="left" vertical="top" wrapText="1"/>
    </xf>
    <xf numFmtId="0" fontId="2290" fillId="5" borderId="3" xfId="0" applyFont="1" applyFill="1" applyBorder="1" applyAlignment="1">
      <alignment horizontal="left" vertical="top" wrapText="1"/>
    </xf>
    <xf numFmtId="0" fontId="2291" fillId="5" borderId="3" xfId="0" applyFont="1" applyFill="1" applyBorder="1" applyAlignment="1">
      <alignment horizontal="left" vertical="top" wrapText="1"/>
    </xf>
    <xf numFmtId="0" fontId="2292" fillId="5" borderId="3" xfId="0" applyFont="1" applyFill="1" applyBorder="1" applyAlignment="1">
      <alignment horizontal="left" vertical="top" wrapText="1"/>
    </xf>
    <xf numFmtId="0" fontId="2328" fillId="5" borderId="3" xfId="0" applyFont="1" applyFill="1" applyBorder="1" applyAlignment="1">
      <alignment horizontal="left" vertical="top" wrapText="1"/>
    </xf>
    <xf numFmtId="0" fontId="2329" fillId="5" borderId="3" xfId="0" applyFont="1" applyFill="1" applyBorder="1" applyAlignment="1">
      <alignment horizontal="left" vertical="top" wrapText="1"/>
    </xf>
    <xf numFmtId="0" fontId="2330" fillId="5" borderId="3" xfId="0" applyFont="1" applyFill="1" applyBorder="1" applyAlignment="1">
      <alignment horizontal="left" vertical="top" wrapText="1"/>
    </xf>
    <xf numFmtId="0" fontId="2331" fillId="5" borderId="3" xfId="0" applyFont="1" applyFill="1" applyBorder="1" applyAlignment="1">
      <alignment horizontal="left" vertical="top" wrapText="1"/>
    </xf>
    <xf numFmtId="0" fontId="2332" fillId="5" borderId="3" xfId="0" applyFont="1" applyFill="1" applyBorder="1" applyAlignment="1">
      <alignment horizontal="left" vertical="top" wrapText="1"/>
    </xf>
    <xf numFmtId="0" fontId="2333" fillId="5" borderId="3" xfId="0" applyFont="1" applyFill="1" applyBorder="1" applyAlignment="1">
      <alignment horizontal="left" vertical="top" wrapText="1"/>
    </xf>
    <xf numFmtId="0" fontId="2334" fillId="5" borderId="3" xfId="0" applyFont="1" applyFill="1" applyBorder="1" applyAlignment="1">
      <alignment horizontal="left" vertical="top" wrapText="1"/>
    </xf>
    <xf numFmtId="0" fontId="2335" fillId="5" borderId="3" xfId="0" applyFont="1" applyFill="1" applyBorder="1" applyAlignment="1">
      <alignment horizontal="left" vertical="top" wrapText="1"/>
    </xf>
    <xf numFmtId="0" fontId="2336" fillId="5" borderId="3" xfId="0" applyFont="1" applyFill="1" applyBorder="1" applyAlignment="1">
      <alignment horizontal="left" vertical="top" wrapText="1"/>
    </xf>
    <xf numFmtId="0" fontId="2337" fillId="5" borderId="3" xfId="0" applyFont="1" applyFill="1" applyBorder="1" applyAlignment="1">
      <alignment horizontal="left" vertical="top" wrapText="1"/>
    </xf>
    <xf numFmtId="0" fontId="2338" fillId="5" borderId="3" xfId="0" applyFont="1" applyFill="1" applyBorder="1" applyAlignment="1">
      <alignment horizontal="left" vertical="top" wrapText="1"/>
    </xf>
    <xf numFmtId="0" fontId="2339" fillId="5" borderId="3" xfId="0" applyFont="1" applyFill="1" applyBorder="1" applyAlignment="1">
      <alignment horizontal="center" vertical="top"/>
    </xf>
    <xf numFmtId="0" fontId="2340" fillId="5" borderId="3" xfId="0" applyFont="1" applyFill="1" applyBorder="1" applyAlignment="1">
      <alignment horizontal="left" vertical="top" wrapText="1"/>
    </xf>
    <xf numFmtId="0" fontId="2341" fillId="5" borderId="3" xfId="0" applyFont="1" applyFill="1" applyBorder="1" applyAlignment="1">
      <alignment horizontal="left" vertical="top" wrapText="1"/>
    </xf>
    <xf numFmtId="0" fontId="2342" fillId="5" borderId="3" xfId="0" applyFont="1" applyFill="1" applyBorder="1" applyAlignment="1">
      <alignment horizontal="left" vertical="top" wrapText="1"/>
    </xf>
    <xf numFmtId="0" fontId="2361" fillId="5" borderId="3" xfId="0" applyFont="1" applyFill="1" applyBorder="1" applyAlignment="1">
      <alignment horizontal="left" vertical="top" wrapText="1"/>
    </xf>
    <xf numFmtId="0" fontId="2362" fillId="5" borderId="3" xfId="0" applyFont="1" applyFill="1" applyBorder="1" applyAlignment="1">
      <alignment horizontal="left" vertical="top" wrapText="1"/>
    </xf>
    <xf numFmtId="0" fontId="2363" fillId="5" borderId="3" xfId="0" applyFont="1" applyFill="1" applyBorder="1" applyAlignment="1">
      <alignment horizontal="left" vertical="top" wrapText="1"/>
    </xf>
    <xf numFmtId="0" fontId="2364" fillId="5" borderId="3" xfId="0" applyFont="1" applyFill="1" applyBorder="1" applyAlignment="1">
      <alignment horizontal="left" vertical="top" wrapText="1"/>
    </xf>
    <xf numFmtId="0" fontId="2365" fillId="5" borderId="3" xfId="0" applyFont="1" applyFill="1" applyBorder="1" applyAlignment="1">
      <alignment horizontal="left" vertical="top" wrapText="1"/>
    </xf>
    <xf numFmtId="0" fontId="2366" fillId="5" borderId="3" xfId="0" applyFont="1" applyFill="1" applyBorder="1" applyAlignment="1">
      <alignment horizontal="left" vertical="top" wrapText="1"/>
    </xf>
    <xf numFmtId="0" fontId="2367" fillId="5" borderId="3" xfId="0" applyFont="1" applyFill="1" applyBorder="1" applyAlignment="1">
      <alignment horizontal="left" vertical="top" wrapText="1"/>
    </xf>
    <xf numFmtId="0" fontId="2368" fillId="5" borderId="3" xfId="0" applyFont="1" applyFill="1" applyBorder="1" applyAlignment="1">
      <alignment horizontal="left" vertical="top" wrapText="1"/>
    </xf>
    <xf numFmtId="0" fontId="2383" fillId="5" borderId="3" xfId="0" applyFont="1" applyFill="1" applyBorder="1" applyAlignment="1">
      <alignment horizontal="left" vertical="top" wrapText="1"/>
    </xf>
    <xf numFmtId="0" fontId="2384" fillId="5" borderId="3" xfId="0" applyFont="1" applyFill="1" applyBorder="1" applyAlignment="1">
      <alignment horizontal="left" vertical="top" wrapText="1"/>
    </xf>
    <xf numFmtId="0" fontId="2385" fillId="5" borderId="3" xfId="0" applyFont="1" applyFill="1" applyBorder="1" applyAlignment="1">
      <alignment horizontal="left" vertical="top" wrapText="1"/>
    </xf>
    <xf numFmtId="0" fontId="2391" fillId="5" borderId="3" xfId="0" applyFont="1" applyFill="1" applyBorder="1" applyAlignment="1">
      <alignment horizontal="left" vertical="top" wrapText="1"/>
    </xf>
    <xf numFmtId="0" fontId="2392" fillId="5" borderId="3" xfId="0" applyFont="1" applyFill="1" applyBorder="1" applyAlignment="1">
      <alignment horizontal="left" vertical="top" wrapText="1"/>
    </xf>
    <xf numFmtId="0" fontId="2393" fillId="5" borderId="3" xfId="0" applyFont="1" applyFill="1" applyBorder="1" applyAlignment="1">
      <alignment horizontal="left" vertical="top" wrapText="1"/>
    </xf>
    <xf numFmtId="0" fontId="2394" fillId="5" borderId="3" xfId="0" applyFont="1" applyFill="1" applyBorder="1" applyAlignment="1">
      <alignment horizontal="left" vertical="top" wrapText="1"/>
    </xf>
    <xf numFmtId="0" fontId="2395" fillId="5" borderId="3" xfId="0" applyFont="1" applyFill="1" applyBorder="1" applyAlignment="1">
      <alignment horizontal="left" vertical="top" wrapText="1"/>
    </xf>
    <xf numFmtId="0" fontId="2396" fillId="5" borderId="3" xfId="0" applyFont="1" applyFill="1" applyBorder="1" applyAlignment="1">
      <alignment horizontal="left" vertical="top" wrapText="1"/>
    </xf>
    <xf numFmtId="0" fontId="2397" fillId="5" borderId="3" xfId="0" applyFont="1" applyFill="1" applyBorder="1" applyAlignment="1">
      <alignment horizontal="left" vertical="top" wrapText="1"/>
    </xf>
    <xf numFmtId="0" fontId="2398" fillId="5" borderId="3" xfId="0" applyFont="1" applyFill="1" applyBorder="1" applyAlignment="1">
      <alignment horizontal="left" vertical="top" wrapText="1"/>
    </xf>
    <xf numFmtId="0" fontId="2399" fillId="5" borderId="3" xfId="0" applyFont="1" applyFill="1" applyBorder="1" applyAlignment="1">
      <alignment horizontal="left" vertical="top" wrapText="1"/>
    </xf>
    <xf numFmtId="0" fontId="2449" fillId="5" borderId="3" xfId="0" applyFont="1" applyFill="1" applyBorder="1" applyAlignment="1">
      <alignment horizontal="left" vertical="top" wrapText="1"/>
    </xf>
    <xf numFmtId="0" fontId="2450" fillId="5" borderId="3" xfId="0" applyFont="1" applyFill="1" applyBorder="1" applyAlignment="1">
      <alignment horizontal="left" vertical="top" wrapText="1"/>
    </xf>
    <xf numFmtId="0" fontId="2451" fillId="5" borderId="3" xfId="0" applyFont="1" applyFill="1" applyBorder="1" applyAlignment="1">
      <alignment horizontal="left" vertical="top" wrapText="1"/>
    </xf>
    <xf numFmtId="0" fontId="2452" fillId="5" borderId="3" xfId="0" applyFont="1" applyFill="1" applyBorder="1" applyAlignment="1">
      <alignment horizontal="center" vertical="top"/>
    </xf>
    <xf numFmtId="0" fontId="2453" fillId="5" borderId="3" xfId="0" applyFont="1" applyFill="1" applyBorder="1" applyAlignment="1">
      <alignment horizontal="left" vertical="top" wrapText="1"/>
    </xf>
    <xf numFmtId="0" fontId="2454" fillId="5" borderId="3" xfId="0" applyFont="1" applyFill="1" applyBorder="1" applyAlignment="1">
      <alignment horizontal="left" vertical="top" wrapText="1"/>
    </xf>
    <xf numFmtId="0" fontId="2455" fillId="5" borderId="3" xfId="0" applyFont="1" applyFill="1" applyBorder="1" applyAlignment="1">
      <alignment horizontal="left" vertical="top" wrapText="1"/>
    </xf>
    <xf numFmtId="0" fontId="2456" fillId="5" borderId="3" xfId="0" applyFont="1" applyFill="1" applyBorder="1" applyAlignment="1">
      <alignment horizontal="left" vertical="top" wrapText="1"/>
    </xf>
    <xf numFmtId="0" fontId="2457" fillId="5" borderId="3" xfId="0" applyFont="1" applyFill="1" applyBorder="1" applyAlignment="1">
      <alignment horizontal="left" vertical="top" wrapText="1"/>
    </xf>
    <xf numFmtId="0" fontId="2458" fillId="5" borderId="3" xfId="0" applyFont="1" applyFill="1" applyBorder="1" applyAlignment="1">
      <alignment horizontal="left" vertical="top" wrapText="1"/>
    </xf>
    <xf numFmtId="0" fontId="2508" fillId="5" borderId="3" xfId="0" applyFont="1" applyFill="1" applyBorder="1" applyAlignment="1">
      <alignment horizontal="left" vertical="top" wrapText="1"/>
    </xf>
    <xf numFmtId="0" fontId="2509" fillId="5" borderId="3" xfId="0" applyFont="1" applyFill="1" applyBorder="1" applyAlignment="1">
      <alignment horizontal="left" vertical="top" wrapText="1"/>
    </xf>
    <xf numFmtId="0" fontId="2510" fillId="5" borderId="3" xfId="0" applyFont="1" applyFill="1" applyBorder="1" applyAlignment="1">
      <alignment horizontal="left" vertical="top" wrapText="1"/>
    </xf>
    <xf numFmtId="0" fontId="2511" fillId="5" borderId="3" xfId="0" applyFont="1" applyFill="1" applyBorder="1" applyAlignment="1">
      <alignment horizontal="left" vertical="top" wrapText="1"/>
    </xf>
    <xf numFmtId="0" fontId="2512" fillId="5" borderId="3" xfId="0" applyFont="1" applyFill="1" applyBorder="1" applyAlignment="1">
      <alignment horizontal="left" vertical="top" wrapText="1"/>
    </xf>
    <xf numFmtId="0" fontId="2517" fillId="5" borderId="3" xfId="0" applyFont="1" applyFill="1" applyBorder="1" applyAlignment="1">
      <alignment horizontal="left" vertical="top" wrapText="1"/>
    </xf>
    <xf numFmtId="0" fontId="3" fillId="0" borderId="0" xfId="0" applyFont="1" applyAlignment="1">
      <alignment horizontal="center"/>
    </xf>
    <xf numFmtId="0" fontId="9" fillId="0" borderId="2" xfId="0" applyFont="1" applyBorder="1" applyAlignment="1">
      <alignment horizontal="right" wrapText="1"/>
    </xf>
    <xf numFmtId="0" fontId="18" fillId="0" borderId="0" xfId="0" applyFont="1" applyAlignment="1">
      <alignment horizontal="center" vertical="top" wrapText="1"/>
    </xf>
    <xf numFmtId="0" fontId="6" fillId="0" borderId="0" xfId="1" applyFont="1"/>
    <xf numFmtId="0" fontId="6" fillId="0" borderId="0" xfId="0" applyFont="1"/>
    <xf numFmtId="0" fontId="37" fillId="6" borderId="0" xfId="0" applyFont="1" applyFill="1" applyAlignment="1">
      <alignment horizontal="center"/>
    </xf>
    <xf numFmtId="0" fontId="38" fillId="6" borderId="0" xfId="0" applyFont="1" applyFill="1" applyAlignment="1">
      <alignment horizontal="center"/>
    </xf>
    <xf numFmtId="0" fontId="704" fillId="6" borderId="0" xfId="0" applyFont="1" applyFill="1" applyAlignment="1">
      <alignment horizontal="center"/>
    </xf>
    <xf numFmtId="0" fontId="935" fillId="6" borderId="0" xfId="0" applyFont="1" applyFill="1" applyAlignment="1">
      <alignment horizontal="center"/>
    </xf>
    <xf numFmtId="0" fontId="936" fillId="6" borderId="0" xfId="0" applyFont="1" applyFill="1" applyAlignment="1">
      <alignment horizontal="center"/>
    </xf>
    <xf numFmtId="0" fontId="1285" fillId="6" borderId="0" xfId="0" applyFont="1" applyFill="1" applyAlignment="1">
      <alignment horizontal="center"/>
    </xf>
    <xf numFmtId="0" fontId="1286" fillId="6" borderId="0" xfId="0" applyFont="1" applyFill="1" applyAlignment="1">
      <alignment horizontal="center"/>
    </xf>
    <xf numFmtId="0" fontId="1506" fillId="6" borderId="0" xfId="0" applyFont="1" applyFill="1" applyAlignment="1">
      <alignment horizontal="center"/>
    </xf>
    <xf numFmtId="0" fontId="1507" fillId="6" borderId="0" xfId="0" applyFont="1" applyFill="1" applyAlignment="1">
      <alignment horizontal="center"/>
    </xf>
    <xf numFmtId="0" fontId="1689" fillId="6" borderId="0" xfId="0" applyFont="1" applyFill="1" applyAlignment="1">
      <alignment horizontal="center"/>
    </xf>
    <xf numFmtId="0" fontId="1690" fillId="6" borderId="0" xfId="0" applyFont="1" applyFill="1" applyAlignment="1">
      <alignment horizontal="center"/>
    </xf>
    <xf numFmtId="0" fontId="2070" fillId="6" borderId="0" xfId="0" applyFont="1" applyFill="1" applyAlignment="1">
      <alignment horizontal="center"/>
    </xf>
    <xf numFmtId="0" fontId="2263" fillId="4" borderId="3" xfId="0" applyFont="1" applyFill="1" applyBorder="1" applyAlignment="1">
      <alignment horizontal="center" vertical="top" wrapText="1"/>
    </xf>
    <xf numFmtId="0" fontId="2261" fillId="4" borderId="3" xfId="0" applyFont="1" applyFill="1" applyBorder="1" applyAlignment="1">
      <alignment horizontal="center" vertical="top" wrapText="1"/>
    </xf>
    <xf numFmtId="0" fontId="2264" fillId="6" borderId="0" xfId="0" applyFont="1" applyFill="1" applyAlignment="1">
      <alignment horizontal="center"/>
    </xf>
    <xf numFmtId="0" fontId="2265" fillId="6" borderId="0" xfId="0" applyFont="1" applyFill="1" applyAlignment="1">
      <alignment horizontal="center"/>
    </xf>
    <xf numFmtId="0" fontId="2262" fillId="6" borderId="0" xfId="0" applyFont="1" applyFill="1" applyAlignment="1">
      <alignment horizontal="center"/>
    </xf>
    <xf numFmtId="0" fontId="652" fillId="7" borderId="3" xfId="0" applyFont="1" applyFill="1" applyBorder="1" applyAlignment="1">
      <alignment horizontal="left" vertical="top" wrapText="1"/>
    </xf>
    <xf numFmtId="0" fontId="111" fillId="7" borderId="3" xfId="0" applyFont="1" applyFill="1" applyBorder="1" applyAlignment="1">
      <alignment horizontal="left" vertical="top" wrapText="1"/>
    </xf>
    <xf numFmtId="0" fontId="653" fillId="7" borderId="3" xfId="0" applyFont="1" applyFill="1" applyBorder="1" applyAlignment="1">
      <alignment horizontal="left" vertical="top" wrapText="1"/>
    </xf>
    <xf numFmtId="0" fontId="112" fillId="7" borderId="3" xfId="0" applyFont="1" applyFill="1" applyBorder="1" applyAlignment="1">
      <alignment horizontal="left" vertical="top" wrapText="1"/>
    </xf>
    <xf numFmtId="0" fontId="651" fillId="7" borderId="3" xfId="0" applyFont="1" applyFill="1" applyBorder="1" applyAlignment="1">
      <alignment horizontal="left" vertical="top" wrapText="1"/>
    </xf>
    <xf numFmtId="0" fontId="121" fillId="7" borderId="3" xfId="0" applyFont="1" applyFill="1" applyBorder="1" applyAlignment="1">
      <alignment horizontal="left" vertical="top" wrapText="1"/>
    </xf>
    <xf numFmtId="0" fontId="692" fillId="7" borderId="3" xfId="0" applyFont="1" applyFill="1" applyBorder="1" applyAlignment="1">
      <alignment horizontal="left" vertical="top" wrapText="1"/>
    </xf>
    <xf numFmtId="0" fontId="480" fillId="7" borderId="3" xfId="0" applyFont="1" applyFill="1" applyBorder="1" applyAlignment="1">
      <alignment horizontal="left" vertical="top" wrapText="1"/>
    </xf>
    <xf numFmtId="0" fontId="239" fillId="7" borderId="3" xfId="0" applyFont="1" applyFill="1" applyBorder="1" applyAlignment="1">
      <alignment horizontal="left" vertical="top" wrapText="1"/>
    </xf>
    <xf numFmtId="0" fontId="650" fillId="7" borderId="3" xfId="0" applyFont="1" applyFill="1" applyBorder="1" applyAlignment="1">
      <alignment horizontal="left" vertical="top" wrapText="1"/>
    </xf>
    <xf numFmtId="0" fontId="240" fillId="7" borderId="3" xfId="0" applyFont="1" applyFill="1" applyBorder="1" applyAlignment="1">
      <alignment horizontal="left" vertical="top" wrapText="1"/>
    </xf>
    <xf numFmtId="0" fontId="422" fillId="7" borderId="3" xfId="0" applyFont="1" applyFill="1" applyBorder="1" applyAlignment="1">
      <alignment horizontal="left" vertical="top" wrapText="1"/>
    </xf>
    <xf numFmtId="0" fontId="675" fillId="7" borderId="3" xfId="0" applyFont="1" applyFill="1" applyBorder="1" applyAlignment="1">
      <alignment horizontal="left" vertical="top" wrapText="1"/>
    </xf>
    <xf numFmtId="0" fontId="345" fillId="7" borderId="3" xfId="0" applyFont="1" applyFill="1" applyBorder="1" applyAlignment="1">
      <alignment horizontal="left" vertical="top" wrapText="1"/>
    </xf>
    <xf numFmtId="0" fontId="647" fillId="7" borderId="3" xfId="0" applyFont="1" applyFill="1" applyBorder="1" applyAlignment="1">
      <alignment horizontal="left" vertical="top" wrapText="1"/>
    </xf>
    <xf numFmtId="0" fontId="355" fillId="7" borderId="3" xfId="0" applyFont="1" applyFill="1" applyBorder="1" applyAlignment="1">
      <alignment horizontal="left" vertical="top" wrapText="1"/>
    </xf>
    <xf numFmtId="0" fontId="169" fillId="7" borderId="3" xfId="0" applyFont="1" applyFill="1" applyBorder="1" applyAlignment="1">
      <alignment horizontal="left" vertical="top" wrapText="1"/>
    </xf>
    <xf numFmtId="0" fontId="423" fillId="7" borderId="3" xfId="0" applyFont="1" applyFill="1" applyBorder="1" applyAlignment="1">
      <alignment horizontal="left" vertical="top" wrapText="1"/>
    </xf>
    <xf numFmtId="0" fontId="654" fillId="7" borderId="3" xfId="0" applyFont="1" applyFill="1" applyBorder="1" applyAlignment="1">
      <alignment horizontal="left" vertical="top" wrapText="1"/>
    </xf>
    <xf numFmtId="0" fontId="113" fillId="7" borderId="3" xfId="0" applyFont="1" applyFill="1" applyBorder="1" applyAlignment="1">
      <alignment horizontal="left" vertical="top" wrapText="1"/>
    </xf>
    <xf numFmtId="0" fontId="170" fillId="7" borderId="3" xfId="0" applyFont="1" applyFill="1" applyBorder="1" applyAlignment="1">
      <alignment horizontal="left" vertical="top" wrapText="1"/>
    </xf>
    <xf numFmtId="0" fontId="356" fillId="7" borderId="3" xfId="0" applyFont="1" applyFill="1" applyBorder="1" applyAlignment="1">
      <alignment horizontal="left" vertical="top" wrapText="1"/>
    </xf>
    <xf numFmtId="0" fontId="655" fillId="7" borderId="3" xfId="0" applyFont="1" applyFill="1" applyBorder="1" applyAlignment="1">
      <alignment horizontal="left" vertical="top" wrapText="1"/>
    </xf>
    <xf numFmtId="0" fontId="115" fillId="7" borderId="3" xfId="0" applyFont="1" applyFill="1" applyBorder="1" applyAlignment="1">
      <alignment horizontal="left" vertical="top" wrapText="1"/>
    </xf>
    <xf numFmtId="0" fontId="171" fillId="7" borderId="3" xfId="0" applyFont="1" applyFill="1" applyBorder="1" applyAlignment="1">
      <alignment horizontal="left" vertical="top" wrapText="1"/>
    </xf>
    <xf numFmtId="0" fontId="357" fillId="7" borderId="3" xfId="0" applyFont="1" applyFill="1" applyBorder="1" applyAlignment="1">
      <alignment horizontal="left" vertical="top" wrapText="1"/>
    </xf>
    <xf numFmtId="0" fontId="656" fillId="7" borderId="3" xfId="0" applyFont="1" applyFill="1" applyBorder="1" applyAlignment="1">
      <alignment horizontal="left" vertical="top" wrapText="1"/>
    </xf>
    <xf numFmtId="0" fontId="116" fillId="7" borderId="3" xfId="0" applyFont="1" applyFill="1" applyBorder="1" applyAlignment="1">
      <alignment horizontal="left" vertical="top" wrapText="1"/>
    </xf>
    <xf numFmtId="0" fontId="172" fillId="7" borderId="3" xfId="0" applyFont="1" applyFill="1" applyBorder="1" applyAlignment="1">
      <alignment horizontal="left" vertical="top" wrapText="1"/>
    </xf>
    <xf numFmtId="0" fontId="358" fillId="7" borderId="3" xfId="0" applyFont="1" applyFill="1" applyBorder="1" applyAlignment="1">
      <alignment horizontal="left" vertical="top" wrapText="1"/>
    </xf>
    <xf numFmtId="0" fontId="693" fillId="7" borderId="3" xfId="0" applyFont="1" applyFill="1" applyBorder="1" applyAlignment="1">
      <alignment horizontal="left" vertical="top" wrapText="1"/>
    </xf>
    <xf numFmtId="0" fontId="572" fillId="7" borderId="3" xfId="0" applyFont="1" applyFill="1" applyBorder="1" applyAlignment="1">
      <alignment horizontal="left" vertical="top" wrapText="1"/>
    </xf>
    <xf numFmtId="0" fontId="173" fillId="7" borderId="3" xfId="0" applyFont="1" applyFill="1" applyBorder="1" applyAlignment="1">
      <alignment horizontal="left" vertical="top" wrapText="1"/>
    </xf>
    <xf numFmtId="0" fontId="359" fillId="7" borderId="3" xfId="0" applyFont="1" applyFill="1" applyBorder="1" applyAlignment="1">
      <alignment horizontal="left" vertical="top" wrapText="1"/>
    </xf>
    <xf numFmtId="0" fontId="657" fillId="7" borderId="3" xfId="0" applyFont="1" applyFill="1" applyBorder="1" applyAlignment="1">
      <alignment horizontal="left" vertical="top" wrapText="1"/>
    </xf>
    <xf numFmtId="0" fontId="117" fillId="7" borderId="3" xfId="0" applyFont="1" applyFill="1" applyBorder="1" applyAlignment="1">
      <alignment horizontal="left" vertical="top" wrapText="1"/>
    </xf>
    <xf numFmtId="0" fontId="174" fillId="7" borderId="3" xfId="0" applyFont="1" applyFill="1" applyBorder="1" applyAlignment="1">
      <alignment horizontal="left" vertical="top" wrapText="1"/>
    </xf>
    <xf numFmtId="0" fontId="360" fillId="7" borderId="3" xfId="0" applyFont="1" applyFill="1" applyBorder="1" applyAlignment="1">
      <alignment horizontal="left" vertical="top" wrapText="1"/>
    </xf>
    <xf numFmtId="0" fontId="658" fillId="7" borderId="3" xfId="0" applyFont="1" applyFill="1" applyBorder="1" applyAlignment="1">
      <alignment horizontal="left" vertical="top" wrapText="1"/>
    </xf>
    <xf numFmtId="0" fontId="118" fillId="7" borderId="3" xfId="0" applyFont="1" applyFill="1" applyBorder="1" applyAlignment="1">
      <alignment horizontal="left" vertical="top" wrapText="1"/>
    </xf>
    <xf numFmtId="0" fontId="175" fillId="7" borderId="3" xfId="0" applyFont="1" applyFill="1" applyBorder="1" applyAlignment="1">
      <alignment horizontal="left" vertical="top" wrapText="1"/>
    </xf>
    <xf numFmtId="0" fontId="361" fillId="7" borderId="3" xfId="0" applyFont="1" applyFill="1" applyBorder="1" applyAlignment="1">
      <alignment horizontal="left" vertical="top" wrapText="1"/>
    </xf>
    <xf numFmtId="0" fontId="176" fillId="7" borderId="3" xfId="0" applyFont="1" applyFill="1" applyBorder="1" applyAlignment="1">
      <alignment horizontal="left" vertical="top" wrapText="1"/>
    </xf>
    <xf numFmtId="0" fontId="362" fillId="7" borderId="3" xfId="0" applyFont="1" applyFill="1" applyBorder="1" applyAlignment="1">
      <alignment horizontal="left" vertical="top" wrapText="1"/>
    </xf>
    <xf numFmtId="0" fontId="694" fillId="7" borderId="3" xfId="0" applyFont="1" applyFill="1" applyBorder="1" applyAlignment="1">
      <alignment horizontal="left" vertical="top" wrapText="1"/>
    </xf>
    <xf numFmtId="0" fontId="573" fillId="7" borderId="3" xfId="0" applyFont="1" applyFill="1" applyBorder="1" applyAlignment="1">
      <alignment horizontal="left" vertical="top" wrapText="1"/>
    </xf>
    <xf numFmtId="0" fontId="177" fillId="7" borderId="3" xfId="0" applyFont="1" applyFill="1" applyBorder="1" applyAlignment="1">
      <alignment horizontal="left" vertical="top" wrapText="1"/>
    </xf>
    <xf numFmtId="0" fontId="363" fillId="7" borderId="3" xfId="0" applyFont="1" applyFill="1" applyBorder="1" applyAlignment="1">
      <alignment horizontal="left" vertical="top" wrapText="1"/>
    </xf>
    <xf numFmtId="0" fontId="178" fillId="7" borderId="3" xfId="0" applyFont="1" applyFill="1" applyBorder="1" applyAlignment="1">
      <alignment horizontal="left" vertical="top" wrapText="1"/>
    </xf>
    <xf numFmtId="0" fontId="364" fillId="7" borderId="3" xfId="0" applyFont="1" applyFill="1" applyBorder="1" applyAlignment="1">
      <alignment horizontal="left" vertical="top" wrapText="1"/>
    </xf>
    <xf numFmtId="0" fontId="695" fillId="7" borderId="3" xfId="0" applyFont="1" applyFill="1" applyBorder="1" applyAlignment="1">
      <alignment horizontal="left" vertical="top" wrapText="1"/>
    </xf>
    <xf numFmtId="0" fontId="574" fillId="7" borderId="3" xfId="0" applyFont="1" applyFill="1" applyBorder="1" applyAlignment="1">
      <alignment horizontal="left" vertical="top" wrapText="1"/>
    </xf>
    <xf numFmtId="0" fontId="691" fillId="7" borderId="3" xfId="0" applyFont="1" applyFill="1" applyBorder="1" applyAlignment="1">
      <alignment horizontal="left" vertical="top" wrapText="1"/>
    </xf>
    <xf numFmtId="0" fontId="479" fillId="7" borderId="3" xfId="0" applyFont="1" applyFill="1" applyBorder="1" applyAlignment="1">
      <alignment horizontal="left" vertical="top" wrapText="1"/>
    </xf>
    <xf numFmtId="0" fontId="179" fillId="7" borderId="3" xfId="0" applyFont="1" applyFill="1" applyBorder="1" applyAlignment="1">
      <alignment horizontal="left" vertical="top" wrapText="1"/>
    </xf>
    <xf numFmtId="0" fontId="365" fillId="7" borderId="3" xfId="0" applyFont="1" applyFill="1" applyBorder="1" applyAlignment="1">
      <alignment horizontal="left" vertical="top" wrapText="1"/>
    </xf>
    <xf numFmtId="0" fontId="180" fillId="7" borderId="3" xfId="0" applyFont="1" applyFill="1" applyBorder="1" applyAlignment="1">
      <alignment horizontal="left" vertical="top" wrapText="1"/>
    </xf>
    <xf numFmtId="0" fontId="366" fillId="7" borderId="3" xfId="0" applyFont="1" applyFill="1" applyBorder="1" applyAlignment="1">
      <alignment horizontal="left" vertical="top" wrapText="1"/>
    </xf>
    <xf numFmtId="0" fontId="181" fillId="7" borderId="3" xfId="0" applyFont="1" applyFill="1" applyBorder="1" applyAlignment="1">
      <alignment horizontal="left" vertical="top" wrapText="1"/>
    </xf>
    <xf numFmtId="0" fontId="367" fillId="7" borderId="3" xfId="0" applyFont="1" applyFill="1" applyBorder="1" applyAlignment="1">
      <alignment horizontal="left" vertical="top" wrapText="1"/>
    </xf>
    <xf numFmtId="0" fontId="182" fillId="7" borderId="3" xfId="0" applyFont="1" applyFill="1" applyBorder="1" applyAlignment="1">
      <alignment horizontal="left" vertical="top" wrapText="1"/>
    </xf>
    <xf numFmtId="0" fontId="368" fillId="7" borderId="3" xfId="0" applyFont="1" applyFill="1" applyBorder="1" applyAlignment="1">
      <alignment horizontal="left" vertical="top" wrapText="1"/>
    </xf>
    <xf numFmtId="0" fontId="672" fillId="7" borderId="3" xfId="0" applyFont="1" applyFill="1" applyBorder="1" applyAlignment="1">
      <alignment horizontal="left" vertical="top" wrapText="1"/>
    </xf>
    <xf numFmtId="0" fontId="575" fillId="7" borderId="3" xfId="0" applyFont="1" applyFill="1" applyBorder="1" applyAlignment="1">
      <alignment horizontal="left" vertical="top" wrapText="1"/>
    </xf>
    <xf numFmtId="0" fontId="138" fillId="7" borderId="3" xfId="0" applyFont="1" applyFill="1" applyBorder="1" applyAlignment="1">
      <alignment horizontal="left" vertical="top" wrapText="1"/>
    </xf>
    <xf numFmtId="0" fontId="119" fillId="7" borderId="3" xfId="0" applyFont="1" applyFill="1" applyBorder="1" applyAlignment="1">
      <alignment horizontal="left" vertical="top" wrapText="1"/>
    </xf>
    <xf numFmtId="0" fontId="183" fillId="7" borderId="3" xfId="0" applyFont="1" applyFill="1" applyBorder="1" applyAlignment="1">
      <alignment horizontal="left" vertical="top" wrapText="1"/>
    </xf>
    <xf numFmtId="0" fontId="369" fillId="7" borderId="3" xfId="0" applyFont="1" applyFill="1" applyBorder="1" applyAlignment="1">
      <alignment horizontal="left" vertical="top" wrapText="1"/>
    </xf>
    <xf numFmtId="0" fontId="680" fillId="7" borderId="3" xfId="0" applyFont="1" applyFill="1" applyBorder="1" applyAlignment="1">
      <alignment horizontal="left" vertical="top" wrapText="1"/>
    </xf>
    <xf numFmtId="0" fontId="576" fillId="7" borderId="3" xfId="0" applyFont="1" applyFill="1" applyBorder="1" applyAlignment="1">
      <alignment horizontal="left" vertical="top" wrapText="1"/>
    </xf>
    <xf numFmtId="0" fontId="184" fillId="7" borderId="3" xfId="0" applyFont="1" applyFill="1" applyBorder="1" applyAlignment="1">
      <alignment horizontal="left" vertical="top" wrapText="1"/>
    </xf>
    <xf numFmtId="0" fontId="370" fillId="7" borderId="3" xfId="0" applyFont="1" applyFill="1" applyBorder="1" applyAlignment="1">
      <alignment horizontal="left" vertical="top" wrapText="1"/>
    </xf>
    <xf numFmtId="0" fontId="676" fillId="7" borderId="3" xfId="0" applyFont="1" applyFill="1" applyBorder="1" applyAlignment="1">
      <alignment horizontal="left" vertical="top" wrapText="1"/>
    </xf>
    <xf numFmtId="0" fontId="346" fillId="7" borderId="3" xfId="0" applyFont="1" applyFill="1" applyBorder="1" applyAlignment="1">
      <alignment horizontal="left" vertical="top" wrapText="1"/>
    </xf>
    <xf numFmtId="0" fontId="185" fillId="7" borderId="3" xfId="0" applyFont="1" applyFill="1" applyBorder="1" applyAlignment="1">
      <alignment horizontal="left" vertical="top" wrapText="1"/>
    </xf>
    <xf numFmtId="0" fontId="371" fillId="7" borderId="3" xfId="0" applyFont="1" applyFill="1" applyBorder="1" applyAlignment="1">
      <alignment horizontal="left" vertical="top" wrapText="1"/>
    </xf>
    <xf numFmtId="0" fontId="139" fillId="7" borderId="3" xfId="0" applyFont="1" applyFill="1" applyBorder="1" applyAlignment="1">
      <alignment horizontal="left" vertical="top" wrapText="1"/>
    </xf>
    <xf numFmtId="0" fontId="120" fillId="7" borderId="3" xfId="0" applyFont="1" applyFill="1" applyBorder="1" applyAlignment="1">
      <alignment horizontal="left" vertical="top" wrapText="1"/>
    </xf>
    <xf numFmtId="0" fontId="677" fillId="7" borderId="3" xfId="0" applyFont="1" applyFill="1" applyBorder="1" applyAlignment="1">
      <alignment horizontal="left" vertical="top" wrapText="1"/>
    </xf>
    <xf numFmtId="0" fontId="347" fillId="7" borderId="3" xfId="0" applyFont="1" applyFill="1" applyBorder="1" applyAlignment="1">
      <alignment horizontal="left" vertical="top" wrapText="1"/>
    </xf>
    <xf numFmtId="0" fontId="678" fillId="7" borderId="3" xfId="0" applyFont="1" applyFill="1" applyBorder="1" applyAlignment="1">
      <alignment horizontal="left" vertical="top" wrapText="1"/>
    </xf>
    <xf numFmtId="0" fontId="348" fillId="7" borderId="3" xfId="0" applyFont="1" applyFill="1" applyBorder="1" applyAlignment="1">
      <alignment horizontal="left" vertical="top" wrapText="1"/>
    </xf>
    <xf numFmtId="0" fontId="679" fillId="7" borderId="3" xfId="0" applyFont="1" applyFill="1" applyBorder="1" applyAlignment="1">
      <alignment horizontal="left" vertical="top" wrapText="1"/>
    </xf>
    <xf numFmtId="0" fontId="349" fillId="7" borderId="3" xfId="0" applyFont="1" applyFill="1" applyBorder="1" applyAlignment="1">
      <alignment horizontal="left" vertical="top" wrapText="1"/>
    </xf>
    <xf numFmtId="0" fontId="186" fillId="7" borderId="3" xfId="0" applyFont="1" applyFill="1" applyBorder="1" applyAlignment="1">
      <alignment horizontal="left" vertical="top" wrapText="1"/>
    </xf>
    <xf numFmtId="0" fontId="372" fillId="7" borderId="3" xfId="0" applyFont="1" applyFill="1" applyBorder="1" applyAlignment="1">
      <alignment horizontal="left" vertical="top" wrapText="1"/>
    </xf>
    <xf numFmtId="0" fontId="187" fillId="7" borderId="3" xfId="0" applyFont="1" applyFill="1" applyBorder="1" applyAlignment="1">
      <alignment horizontal="left" vertical="top" wrapText="1"/>
    </xf>
    <xf numFmtId="0" fontId="373" fillId="7" borderId="3" xfId="0" applyFont="1" applyFill="1" applyBorder="1" applyAlignment="1">
      <alignment horizontal="left" vertical="top" wrapText="1"/>
    </xf>
    <xf numFmtId="0" fontId="188" fillId="7" borderId="3" xfId="0" applyFont="1" applyFill="1" applyBorder="1" applyAlignment="1">
      <alignment horizontal="left" vertical="top" wrapText="1"/>
    </xf>
    <xf numFmtId="0" fontId="374" fillId="7" borderId="3" xfId="0" applyFont="1" applyFill="1" applyBorder="1" applyAlignment="1">
      <alignment horizontal="left" vertical="top" wrapText="1"/>
    </xf>
    <xf numFmtId="0" fontId="189" fillId="7" borderId="3" xfId="0" applyFont="1" applyFill="1" applyBorder="1" applyAlignment="1">
      <alignment horizontal="left" vertical="top" wrapText="1"/>
    </xf>
    <xf numFmtId="0" fontId="375" fillId="7" borderId="3" xfId="0" applyFont="1" applyFill="1" applyBorder="1" applyAlignment="1">
      <alignment horizontal="left" vertical="top" wrapText="1"/>
    </xf>
    <xf numFmtId="0" fontId="140" fillId="7" borderId="3" xfId="0" applyFont="1" applyFill="1" applyBorder="1" applyAlignment="1">
      <alignment horizontal="left" vertical="top" wrapText="1"/>
    </xf>
    <xf numFmtId="0" fontId="57" fillId="7" borderId="3" xfId="0" applyFont="1" applyFill="1" applyBorder="1" applyAlignment="1">
      <alignment horizontal="left" vertical="top" wrapText="1"/>
    </xf>
    <xf numFmtId="0" fontId="141" fillId="7" borderId="3" xfId="0" applyFont="1" applyFill="1" applyBorder="1" applyAlignment="1">
      <alignment horizontal="left" vertical="top" wrapText="1"/>
    </xf>
    <xf numFmtId="0" fontId="58" fillId="7" borderId="3" xfId="0" applyFont="1" applyFill="1" applyBorder="1" applyAlignment="1">
      <alignment horizontal="left" vertical="top" wrapText="1"/>
    </xf>
    <xf numFmtId="0" fontId="190" fillId="7" borderId="3" xfId="0" applyFont="1" applyFill="1" applyBorder="1" applyAlignment="1">
      <alignment horizontal="left" vertical="top" wrapText="1"/>
    </xf>
    <xf numFmtId="0" fontId="376" fillId="7" borderId="3" xfId="0" applyFont="1" applyFill="1" applyBorder="1" applyAlignment="1">
      <alignment horizontal="left" vertical="top" wrapText="1"/>
    </xf>
    <xf numFmtId="0" fontId="142" fillId="7" borderId="3" xfId="0" applyFont="1" applyFill="1" applyBorder="1" applyAlignment="1">
      <alignment horizontal="left" vertical="top" wrapText="1"/>
    </xf>
    <xf numFmtId="0" fontId="659" fillId="7" borderId="3" xfId="0" applyFont="1" applyFill="1" applyBorder="1" applyAlignment="1">
      <alignment horizontal="left" vertical="top" wrapText="1"/>
    </xf>
    <xf numFmtId="0" fontId="143" fillId="7" borderId="3" xfId="0" applyFont="1" applyFill="1" applyBorder="1" applyAlignment="1">
      <alignment horizontal="left" vertical="top" wrapText="1"/>
    </xf>
    <xf numFmtId="0" fontId="660" fillId="7" borderId="3" xfId="0" applyFont="1" applyFill="1" applyBorder="1" applyAlignment="1">
      <alignment horizontal="left" vertical="top" wrapText="1"/>
    </xf>
    <xf numFmtId="0" fontId="144" fillId="7" borderId="3" xfId="0" applyFont="1" applyFill="1" applyBorder="1" applyAlignment="1">
      <alignment horizontal="left" vertical="top" wrapText="1"/>
    </xf>
    <xf numFmtId="0" fontId="661" fillId="7" borderId="3" xfId="0" applyFont="1" applyFill="1" applyBorder="1" applyAlignment="1">
      <alignment horizontal="left" vertical="top" wrapText="1"/>
    </xf>
    <xf numFmtId="0" fontId="191" fillId="7" borderId="3" xfId="0" applyFont="1" applyFill="1" applyBorder="1" applyAlignment="1">
      <alignment horizontal="left" vertical="top" wrapText="1"/>
    </xf>
    <xf numFmtId="0" fontId="377" fillId="7" borderId="3" xfId="0" applyFont="1" applyFill="1" applyBorder="1" applyAlignment="1">
      <alignment horizontal="left" vertical="top" wrapText="1"/>
    </xf>
    <xf numFmtId="0" fontId="192" fillId="7" borderId="3" xfId="0" applyFont="1" applyFill="1" applyBorder="1" applyAlignment="1">
      <alignment horizontal="left" vertical="top" wrapText="1"/>
    </xf>
    <xf numFmtId="0" fontId="378" fillId="7" borderId="3" xfId="0" applyFont="1" applyFill="1" applyBorder="1" applyAlignment="1">
      <alignment horizontal="left" vertical="top" wrapText="1"/>
    </xf>
    <xf numFmtId="0" fontId="493" fillId="7" borderId="3" xfId="0" applyFont="1" applyFill="1" applyBorder="1" applyAlignment="1">
      <alignment horizontal="left" vertical="top" wrapText="1"/>
    </xf>
    <xf numFmtId="0" fontId="350" fillId="7" borderId="3" xfId="0" applyFont="1" applyFill="1" applyBorder="1" applyAlignment="1">
      <alignment horizontal="left" vertical="top" wrapText="1"/>
    </xf>
    <xf numFmtId="0" fontId="145" fillId="7" borderId="3" xfId="0" applyFont="1" applyFill="1" applyBorder="1" applyAlignment="1">
      <alignment horizontal="left" vertical="top" wrapText="1"/>
    </xf>
    <xf numFmtId="0" fontId="662" fillId="7" borderId="3" xfId="0" applyFont="1" applyFill="1" applyBorder="1" applyAlignment="1">
      <alignment horizontal="left" vertical="top" wrapText="1"/>
    </xf>
    <xf numFmtId="0" fontId="193" fillId="7" borderId="3" xfId="0" applyFont="1" applyFill="1" applyBorder="1" applyAlignment="1">
      <alignment horizontal="left" vertical="top" wrapText="1"/>
    </xf>
    <xf numFmtId="0" fontId="379" fillId="7" borderId="3" xfId="0" applyFont="1" applyFill="1" applyBorder="1" applyAlignment="1">
      <alignment horizontal="left" vertical="top" wrapText="1"/>
    </xf>
    <xf numFmtId="0" fontId="494" fillId="7" borderId="3" xfId="0" applyFont="1" applyFill="1" applyBorder="1" applyAlignment="1">
      <alignment horizontal="left" vertical="top" wrapText="1"/>
    </xf>
    <xf numFmtId="0" fontId="351" fillId="7" borderId="3" xfId="0" applyFont="1" applyFill="1" applyBorder="1" applyAlignment="1">
      <alignment horizontal="left" vertical="top" wrapText="1"/>
    </xf>
    <xf numFmtId="0" fontId="146" fillId="7" borderId="3" xfId="0" applyFont="1" applyFill="1" applyBorder="1" applyAlignment="1">
      <alignment horizontal="left" vertical="top" wrapText="1"/>
    </xf>
    <xf numFmtId="0" fontId="663" fillId="7" borderId="3" xfId="0" applyFont="1" applyFill="1" applyBorder="1" applyAlignment="1">
      <alignment horizontal="left" vertical="top" wrapText="1"/>
    </xf>
    <xf numFmtId="0" fontId="495" fillId="7" borderId="3" xfId="0" applyFont="1" applyFill="1" applyBorder="1" applyAlignment="1">
      <alignment horizontal="left" vertical="top" wrapText="1"/>
    </xf>
    <xf numFmtId="0" fontId="352" fillId="7" borderId="3" xfId="0" applyFont="1" applyFill="1" applyBorder="1" applyAlignment="1">
      <alignment horizontal="left" vertical="top" wrapText="1"/>
    </xf>
    <xf numFmtId="0" fontId="147" fillId="7" borderId="3" xfId="0" applyFont="1" applyFill="1" applyBorder="1" applyAlignment="1">
      <alignment horizontal="left" vertical="top" wrapText="1"/>
    </xf>
    <xf numFmtId="0" fontId="664" fillId="7" borderId="3" xfId="0" applyFont="1" applyFill="1" applyBorder="1" applyAlignment="1">
      <alignment horizontal="left" vertical="top" wrapText="1"/>
    </xf>
    <xf numFmtId="0" fontId="194" fillId="7" borderId="3" xfId="0" applyFont="1" applyFill="1" applyBorder="1" applyAlignment="1">
      <alignment horizontal="left" vertical="top" wrapText="1"/>
    </xf>
    <xf numFmtId="0" fontId="380" fillId="7" borderId="3" xfId="0" applyFont="1" applyFill="1" applyBorder="1" applyAlignment="1">
      <alignment horizontal="left" vertical="top" wrapText="1"/>
    </xf>
    <xf numFmtId="0" fontId="195" fillId="7" borderId="3" xfId="0" applyFont="1" applyFill="1" applyBorder="1" applyAlignment="1">
      <alignment horizontal="left" vertical="top" wrapText="1"/>
    </xf>
    <xf numFmtId="0" fontId="381" fillId="7" borderId="3" xfId="0" applyFont="1" applyFill="1" applyBorder="1" applyAlignment="1">
      <alignment horizontal="left" vertical="top" wrapText="1"/>
    </xf>
    <xf numFmtId="0" fontId="196" fillId="7" borderId="3" xfId="0" applyFont="1" applyFill="1" applyBorder="1" applyAlignment="1">
      <alignment horizontal="left" vertical="top" wrapText="1"/>
    </xf>
    <xf numFmtId="0" fontId="382" fillId="7" borderId="3" xfId="0" applyFont="1" applyFill="1" applyBorder="1" applyAlignment="1">
      <alignment horizontal="left" vertical="top" wrapText="1"/>
    </xf>
    <xf numFmtId="0" fontId="197" fillId="7" borderId="3" xfId="0" applyFont="1" applyFill="1" applyBorder="1" applyAlignment="1">
      <alignment horizontal="left" vertical="top" wrapText="1"/>
    </xf>
    <xf numFmtId="0" fontId="383" fillId="7" borderId="3" xfId="0" applyFont="1" applyFill="1" applyBorder="1" applyAlignment="1">
      <alignment horizontal="left" vertical="top" wrapText="1"/>
    </xf>
    <xf numFmtId="0" fontId="496" fillId="7" borderId="3" xfId="0" applyFont="1" applyFill="1" applyBorder="1" applyAlignment="1">
      <alignment horizontal="left" vertical="top" wrapText="1"/>
    </xf>
    <xf numFmtId="0" fontId="353" fillId="7" borderId="3" xfId="0" applyFont="1" applyFill="1" applyBorder="1" applyAlignment="1">
      <alignment horizontal="left" vertical="top" wrapText="1"/>
    </xf>
    <xf numFmtId="0" fontId="459" fillId="7" borderId="3" xfId="0" applyFont="1" applyFill="1" applyBorder="1" applyAlignment="1">
      <alignment horizontal="left" vertical="top" wrapText="1"/>
    </xf>
    <xf numFmtId="0" fontId="460" fillId="7" borderId="3" xfId="0" applyFont="1" applyFill="1" applyBorder="1" applyAlignment="1">
      <alignment horizontal="left" vertical="top" wrapText="1"/>
    </xf>
    <xf numFmtId="0" fontId="198" fillId="7" borderId="3" xfId="0" applyFont="1" applyFill="1" applyBorder="1" applyAlignment="1">
      <alignment horizontal="left" vertical="top" wrapText="1"/>
    </xf>
    <xf numFmtId="0" fontId="131" fillId="7" borderId="3" xfId="0" applyFont="1" applyFill="1" applyBorder="1" applyAlignment="1">
      <alignment horizontal="left" vertical="top" wrapText="1"/>
    </xf>
    <xf numFmtId="0" fontId="199" fillId="7" borderId="3" xfId="0" applyFont="1" applyFill="1" applyBorder="1" applyAlignment="1">
      <alignment horizontal="left" vertical="top" wrapText="1"/>
    </xf>
    <xf numFmtId="0" fontId="132" fillId="7" borderId="3" xfId="0" applyFont="1" applyFill="1" applyBorder="1" applyAlignment="1">
      <alignment horizontal="left" vertical="top" wrapText="1"/>
    </xf>
    <xf numFmtId="0" fontId="231" fillId="7" borderId="3" xfId="0" applyFont="1" applyFill="1" applyBorder="1" applyAlignment="1">
      <alignment horizontal="left" vertical="top" wrapText="1"/>
    </xf>
    <xf numFmtId="0" fontId="133" fillId="7" borderId="3" xfId="0" applyFont="1" applyFill="1" applyBorder="1" applyAlignment="1">
      <alignment horizontal="left" vertical="top" wrapText="1"/>
    </xf>
    <xf numFmtId="0" fontId="646" fillId="7" borderId="3" xfId="0" applyFont="1" applyFill="1" applyBorder="1" applyAlignment="1">
      <alignment horizontal="left" vertical="top" wrapText="1"/>
    </xf>
    <xf numFmtId="0" fontId="354" fillId="7" borderId="3" xfId="0" applyFont="1" applyFill="1" applyBorder="1" applyAlignment="1">
      <alignment horizontal="left" vertical="top" wrapText="1"/>
    </xf>
    <xf numFmtId="0" fontId="232" fillId="7" borderId="3" xfId="0" applyFont="1" applyFill="1" applyBorder="1" applyAlignment="1">
      <alignment horizontal="left" vertical="top" wrapText="1"/>
    </xf>
    <xf numFmtId="0" fontId="134" fillId="7" borderId="3" xfId="0" applyFont="1" applyFill="1" applyBorder="1" applyAlignment="1">
      <alignment horizontal="left" vertical="top" wrapText="1"/>
    </xf>
    <xf numFmtId="0" fontId="233" fillId="7" borderId="3" xfId="0" applyFont="1" applyFill="1" applyBorder="1" applyAlignment="1">
      <alignment horizontal="left" vertical="top" wrapText="1"/>
    </xf>
    <xf numFmtId="0" fontId="135" fillId="7" borderId="3" xfId="0" applyFont="1" applyFill="1" applyBorder="1" applyAlignment="1">
      <alignment horizontal="left" vertical="top" wrapText="1"/>
    </xf>
    <xf numFmtId="0" fontId="234" fillId="7" borderId="3" xfId="0" applyFont="1" applyFill="1" applyBorder="1" applyAlignment="1">
      <alignment horizontal="left" vertical="top" wrapText="1"/>
    </xf>
    <xf numFmtId="0" fontId="136" fillId="7" borderId="3" xfId="0" applyFont="1" applyFill="1" applyBorder="1" applyAlignment="1">
      <alignment horizontal="left" vertical="top" wrapText="1"/>
    </xf>
    <xf numFmtId="0" fontId="566" fillId="7" borderId="3" xfId="0" applyFont="1" applyFill="1" applyBorder="1" applyAlignment="1">
      <alignment horizontal="left" vertical="top" wrapText="1"/>
    </xf>
    <xf numFmtId="0" fontId="342" fillId="7" borderId="3" xfId="0" applyFont="1" applyFill="1" applyBorder="1" applyAlignment="1">
      <alignment horizontal="left" vertical="top" wrapText="1"/>
    </xf>
    <xf numFmtId="0" fontId="673" fillId="7" borderId="3" xfId="0" applyFont="1" applyFill="1" applyBorder="1" applyAlignment="1">
      <alignment horizontal="left" vertical="top" wrapText="1"/>
    </xf>
    <xf numFmtId="0" fontId="343" fillId="7" borderId="3" xfId="0" applyFont="1" applyFill="1" applyBorder="1" applyAlignment="1">
      <alignment horizontal="left" vertical="top" wrapText="1"/>
    </xf>
    <xf numFmtId="0" fontId="674" fillId="7" borderId="3" xfId="0" applyFont="1" applyFill="1" applyBorder="1" applyAlignment="1">
      <alignment horizontal="left" vertical="top" wrapText="1"/>
    </xf>
    <xf numFmtId="0" fontId="344" fillId="7" borderId="3" xfId="0" applyFont="1" applyFill="1" applyBorder="1" applyAlignment="1">
      <alignment horizontal="left" vertical="top" wrapText="1"/>
    </xf>
    <xf numFmtId="0" fontId="235" fillId="7" borderId="3" xfId="0" applyFont="1" applyFill="1" applyBorder="1" applyAlignment="1">
      <alignment horizontal="left" vertical="top" wrapText="1"/>
    </xf>
    <xf numFmtId="0" fontId="447" fillId="7" borderId="3" xfId="0" applyFont="1" applyFill="1" applyBorder="1" applyAlignment="1">
      <alignment horizontal="left" vertical="top" wrapText="1"/>
    </xf>
    <xf numFmtId="0" fontId="236" fillId="7" borderId="3" xfId="0" applyFont="1" applyFill="1" applyBorder="1" applyAlignment="1">
      <alignment horizontal="left" vertical="top" wrapText="1"/>
    </xf>
    <xf numFmtId="0" fontId="448" fillId="7" borderId="3" xfId="0" applyFont="1" applyFill="1" applyBorder="1" applyAlignment="1">
      <alignment horizontal="left" vertical="top" wrapText="1"/>
    </xf>
    <xf numFmtId="0" fontId="335" fillId="7" borderId="3" xfId="0" applyFont="1" applyFill="1" applyBorder="1" applyAlignment="1">
      <alignment horizontal="left" vertical="top" wrapText="1"/>
    </xf>
    <xf numFmtId="0" fontId="449" fillId="7" borderId="3" xfId="0" applyFont="1" applyFill="1" applyBorder="1" applyAlignment="1">
      <alignment horizontal="left" vertical="top" wrapText="1"/>
    </xf>
    <xf numFmtId="0" fontId="63" fillId="7" borderId="3" xfId="0" applyFont="1" applyFill="1" applyBorder="1" applyAlignment="1">
      <alignment horizontal="left" vertical="top" wrapText="1"/>
    </xf>
    <xf numFmtId="0" fontId="450" fillId="7" borderId="3" xfId="0" applyFont="1" applyFill="1" applyBorder="1" applyAlignment="1">
      <alignment horizontal="left" vertical="top" wrapText="1"/>
    </xf>
    <xf numFmtId="0" fontId="64" fillId="7" borderId="3" xfId="0" applyFont="1" applyFill="1" applyBorder="1" applyAlignment="1">
      <alignment horizontal="left" vertical="top" wrapText="1"/>
    </xf>
    <xf numFmtId="0" fontId="451" fillId="7" borderId="3" xfId="0" applyFont="1" applyFill="1" applyBorder="1" applyAlignment="1">
      <alignment horizontal="left" vertical="top" wrapText="1"/>
    </xf>
    <xf numFmtId="0" fontId="65" fillId="7" borderId="3" xfId="0" applyFont="1" applyFill="1" applyBorder="1" applyAlignment="1">
      <alignment horizontal="left" vertical="top" wrapText="1"/>
    </xf>
    <xf numFmtId="0" fontId="452" fillId="7" borderId="3" xfId="0" applyFont="1" applyFill="1" applyBorder="1" applyAlignment="1">
      <alignment horizontal="left" vertical="top" wrapText="1"/>
    </xf>
    <xf numFmtId="0" fontId="66" fillId="7" borderId="3" xfId="0" applyFont="1" applyFill="1" applyBorder="1" applyAlignment="1">
      <alignment horizontal="left" vertical="top" wrapText="1"/>
    </xf>
    <xf numFmtId="0" fontId="453" fillId="7" borderId="3" xfId="0" applyFont="1" applyFill="1" applyBorder="1" applyAlignment="1">
      <alignment horizontal="left" vertical="top" wrapText="1"/>
    </xf>
    <xf numFmtId="0" fontId="67" fillId="7" borderId="3" xfId="0" applyFont="1" applyFill="1" applyBorder="1" applyAlignment="1">
      <alignment horizontal="left" vertical="top" wrapText="1"/>
    </xf>
    <xf numFmtId="0" fontId="483" fillId="7" borderId="3" xfId="0" applyFont="1" applyFill="1" applyBorder="1" applyAlignment="1">
      <alignment horizontal="left" vertical="top" wrapText="1"/>
    </xf>
    <xf numFmtId="0" fontId="68" fillId="7" borderId="3" xfId="0" applyFont="1" applyFill="1" applyBorder="1" applyAlignment="1">
      <alignment horizontal="left" vertical="top" wrapText="1"/>
    </xf>
    <xf numFmtId="0" fontId="484" fillId="7" borderId="3" xfId="0" applyFont="1" applyFill="1" applyBorder="1" applyAlignment="1">
      <alignment horizontal="left" vertical="top" wrapText="1"/>
    </xf>
    <xf numFmtId="0" fontId="148" fillId="7" borderId="3" xfId="0" applyFont="1" applyFill="1" applyBorder="1" applyAlignment="1">
      <alignment horizontal="left" vertical="top" wrapText="1"/>
    </xf>
    <xf numFmtId="0" fontId="665" fillId="7" borderId="3" xfId="0" applyFont="1" applyFill="1" applyBorder="1" applyAlignment="1">
      <alignment horizontal="left" vertical="top" wrapText="1"/>
    </xf>
    <xf numFmtId="0" fontId="153" fillId="7" borderId="3" xfId="0" applyFont="1" applyFill="1" applyBorder="1" applyAlignment="1">
      <alignment horizontal="left" vertical="top" wrapText="1"/>
    </xf>
    <xf numFmtId="0" fontId="666" fillId="7" borderId="3" xfId="0" applyFont="1" applyFill="1" applyBorder="1" applyAlignment="1">
      <alignment horizontal="left" vertical="top" wrapText="1"/>
    </xf>
    <xf numFmtId="0" fontId="69" fillId="7" borderId="3" xfId="0" applyFont="1" applyFill="1" applyBorder="1" applyAlignment="1">
      <alignment horizontal="left" vertical="top" wrapText="1"/>
    </xf>
    <xf numFmtId="0" fontId="485" fillId="7" borderId="3" xfId="0" applyFont="1" applyFill="1" applyBorder="1" applyAlignment="1">
      <alignment horizontal="left" vertical="top" wrapText="1"/>
    </xf>
    <xf numFmtId="0" fontId="681" fillId="7" borderId="3" xfId="0" applyFont="1" applyFill="1" applyBorder="1" applyAlignment="1">
      <alignment horizontal="left" vertical="top" wrapText="1"/>
    </xf>
    <xf numFmtId="0" fontId="577" fillId="7" borderId="3" xfId="0" applyFont="1" applyFill="1" applyBorder="1" applyAlignment="1">
      <alignment horizontal="left" vertical="top" wrapText="1"/>
    </xf>
    <xf numFmtId="0" fontId="154" fillId="7" borderId="3" xfId="0" applyFont="1" applyFill="1" applyBorder="1" applyAlignment="1">
      <alignment horizontal="left" vertical="top" wrapText="1"/>
    </xf>
    <xf numFmtId="0" fontId="667" fillId="7" borderId="3" xfId="0" applyFont="1" applyFill="1" applyBorder="1" applyAlignment="1">
      <alignment horizontal="left" vertical="top" wrapText="1"/>
    </xf>
    <xf numFmtId="0" fontId="682" fillId="7" borderId="3" xfId="0" applyFont="1" applyFill="1" applyBorder="1" applyAlignment="1">
      <alignment horizontal="left" vertical="top" wrapText="1"/>
    </xf>
    <xf numFmtId="0" fontId="578" fillId="7" borderId="3" xfId="0" applyFont="1" applyFill="1" applyBorder="1" applyAlignment="1">
      <alignment horizontal="left" vertical="top" wrapText="1"/>
    </xf>
    <xf numFmtId="0" fontId="70" fillId="7" borderId="3" xfId="0" applyFont="1" applyFill="1" applyBorder="1" applyAlignment="1">
      <alignment horizontal="left" vertical="top" wrapText="1"/>
    </xf>
    <xf numFmtId="0" fontId="486" fillId="7" borderId="3" xfId="0" applyFont="1" applyFill="1" applyBorder="1" applyAlignment="1">
      <alignment horizontal="left" vertical="top" wrapText="1"/>
    </xf>
    <xf numFmtId="0" fontId="71" fillId="7" borderId="3" xfId="0" applyFont="1" applyFill="1" applyBorder="1" applyAlignment="1">
      <alignment horizontal="left" vertical="top" wrapText="1"/>
    </xf>
    <xf numFmtId="0" fontId="487" fillId="7" borderId="3" xfId="0" applyFont="1" applyFill="1" applyBorder="1" applyAlignment="1">
      <alignment horizontal="left" vertical="top" wrapText="1"/>
    </xf>
    <xf numFmtId="0" fontId="72" fillId="7" borderId="3" xfId="0" applyFont="1" applyFill="1" applyBorder="1" applyAlignment="1">
      <alignment horizontal="left" vertical="top" wrapText="1"/>
    </xf>
    <xf numFmtId="0" fontId="488" fillId="7" borderId="3" xfId="0" applyFont="1" applyFill="1" applyBorder="1" applyAlignment="1">
      <alignment horizontal="left" vertical="top" wrapText="1"/>
    </xf>
    <xf numFmtId="0" fontId="238" fillId="7" borderId="3" xfId="0" applyFont="1" applyFill="1" applyBorder="1" applyAlignment="1">
      <alignment horizontal="left" vertical="top" wrapText="1"/>
    </xf>
    <xf numFmtId="0" fontId="649" fillId="7" borderId="3" xfId="0" applyFont="1" applyFill="1" applyBorder="1" applyAlignment="1">
      <alignment horizontal="left" vertical="top" wrapText="1"/>
    </xf>
    <xf numFmtId="0" fontId="292" fillId="7" borderId="3" xfId="0" applyFont="1" applyFill="1" applyBorder="1" applyAlignment="1">
      <alignment horizontal="left" vertical="top" wrapText="1"/>
    </xf>
    <xf numFmtId="0" fontId="579" fillId="7" borderId="3" xfId="0" applyFont="1" applyFill="1" applyBorder="1" applyAlignment="1">
      <alignment horizontal="left" vertical="top" wrapText="1"/>
    </xf>
    <xf numFmtId="0" fontId="155" fillId="7" borderId="3" xfId="0" applyFont="1" applyFill="1" applyBorder="1" applyAlignment="1">
      <alignment horizontal="left" vertical="top" wrapText="1"/>
    </xf>
    <xf numFmtId="0" fontId="42" fillId="7" borderId="3" xfId="0" applyFont="1" applyFill="1" applyBorder="1" applyAlignment="1">
      <alignment horizontal="left" vertical="top" wrapText="1"/>
    </xf>
    <xf numFmtId="0" fontId="73" fillId="7" borderId="3" xfId="0" applyFont="1" applyFill="1" applyBorder="1" applyAlignment="1">
      <alignment horizontal="left" vertical="top" wrapText="1"/>
    </xf>
    <xf numFmtId="0" fontId="489" fillId="7" borderId="3" xfId="0" applyFont="1" applyFill="1" applyBorder="1" applyAlignment="1">
      <alignment horizontal="left" vertical="top" wrapText="1"/>
    </xf>
    <xf numFmtId="0" fontId="74" fillId="7" borderId="3" xfId="0" applyFont="1" applyFill="1" applyBorder="1" applyAlignment="1">
      <alignment horizontal="left" vertical="top" wrapText="1"/>
    </xf>
    <xf numFmtId="0" fontId="490" fillId="7" borderId="3" xfId="0" applyFont="1" applyFill="1" applyBorder="1" applyAlignment="1">
      <alignment horizontal="left" vertical="top" wrapText="1"/>
    </xf>
    <xf numFmtId="0" fontId="237" fillId="7" borderId="3" xfId="0" applyFont="1" applyFill="1" applyBorder="1" applyAlignment="1">
      <alignment horizontal="left" vertical="top" wrapText="1"/>
    </xf>
    <xf numFmtId="0" fontId="492" fillId="7" borderId="3" xfId="0" applyFont="1" applyFill="1" applyBorder="1" applyAlignment="1">
      <alignment horizontal="left" vertical="top" wrapText="1"/>
    </xf>
    <xf numFmtId="0" fontId="137" fillId="7" borderId="3" xfId="0" applyFont="1" applyFill="1" applyBorder="1" applyAlignment="1">
      <alignment horizontal="left" vertical="top" wrapText="1"/>
    </xf>
    <xf numFmtId="0" fontId="491" fillId="7" borderId="3" xfId="0" applyFont="1" applyFill="1" applyBorder="1" applyAlignment="1">
      <alignment horizontal="left" vertical="top" wrapText="1"/>
    </xf>
    <xf numFmtId="0" fontId="156" fillId="7" borderId="3" xfId="0" applyFont="1" applyFill="1" applyBorder="1" applyAlignment="1">
      <alignment horizontal="left" vertical="top" wrapText="1"/>
    </xf>
    <xf numFmtId="0" fontId="43" fillId="7" borderId="3" xfId="0" applyFont="1" applyFill="1" applyBorder="1" applyAlignment="1">
      <alignment horizontal="left" vertical="top" wrapText="1"/>
    </xf>
    <xf numFmtId="0" fontId="295" fillId="7" borderId="3" xfId="0" applyFont="1" applyFill="1" applyBorder="1" applyAlignment="1">
      <alignment horizontal="left" vertical="top" wrapText="1"/>
    </xf>
    <xf numFmtId="0" fontId="582" fillId="7" borderId="3" xfId="0" applyFont="1" applyFill="1" applyBorder="1" applyAlignment="1">
      <alignment horizontal="left" vertical="top" wrapText="1"/>
    </xf>
    <xf numFmtId="0" fontId="296" fillId="7" borderId="3" xfId="0" applyFont="1" applyFill="1" applyBorder="1" applyAlignment="1">
      <alignment horizontal="left" vertical="top" wrapText="1"/>
    </xf>
    <xf numFmtId="0" fontId="583" fillId="7" borderId="3" xfId="0" applyFont="1" applyFill="1" applyBorder="1" applyAlignment="1">
      <alignment horizontal="left" vertical="top" wrapText="1"/>
    </xf>
    <xf numFmtId="0" fontId="297" fillId="7" borderId="3" xfId="0" applyFont="1" applyFill="1" applyBorder="1" applyAlignment="1">
      <alignment horizontal="left" vertical="top" wrapText="1"/>
    </xf>
    <xf numFmtId="0" fontId="584" fillId="7" borderId="3" xfId="0" applyFont="1" applyFill="1" applyBorder="1" applyAlignment="1">
      <alignment horizontal="left" vertical="top" wrapText="1"/>
    </xf>
    <xf numFmtId="0" fontId="298" fillId="7" borderId="3" xfId="0" applyFont="1" applyFill="1" applyBorder="1" applyAlignment="1">
      <alignment horizontal="left" vertical="top" wrapText="1"/>
    </xf>
    <xf numFmtId="0" fontId="587" fillId="7" borderId="3" xfId="0" applyFont="1" applyFill="1" applyBorder="1" applyAlignment="1">
      <alignment horizontal="left" vertical="top" wrapText="1"/>
    </xf>
    <xf numFmtId="0" fontId="299" fillId="7" borderId="3" xfId="0" applyFont="1" applyFill="1" applyBorder="1" applyAlignment="1">
      <alignment horizontal="left" vertical="top" wrapText="1"/>
    </xf>
    <xf numFmtId="0" fontId="588" fillId="7" borderId="3" xfId="0" applyFont="1" applyFill="1" applyBorder="1" applyAlignment="1">
      <alignment horizontal="left" vertical="top" wrapText="1"/>
    </xf>
    <xf numFmtId="0" fontId="157" fillId="7" borderId="3" xfId="0" applyFont="1" applyFill="1" applyBorder="1" applyAlignment="1">
      <alignment horizontal="left" vertical="top" wrapText="1"/>
    </xf>
    <xf numFmtId="0" fontId="44" fillId="7" borderId="3" xfId="0" applyFont="1" applyFill="1" applyBorder="1" applyAlignment="1">
      <alignment horizontal="left" vertical="top" wrapText="1"/>
    </xf>
    <xf numFmtId="0" fontId="300" fillId="7" borderId="3" xfId="0" applyFont="1" applyFill="1" applyBorder="1" applyAlignment="1">
      <alignment horizontal="left" vertical="top" wrapText="1"/>
    </xf>
    <xf numFmtId="0" fontId="589" fillId="7" borderId="3" xfId="0" applyFont="1" applyFill="1" applyBorder="1" applyAlignment="1">
      <alignment horizontal="left" vertical="top" wrapText="1"/>
    </xf>
    <xf numFmtId="0" fontId="399" fillId="7" borderId="3" xfId="0" applyFont="1" applyFill="1" applyBorder="1" applyAlignment="1">
      <alignment horizontal="left" vertical="top" wrapText="1"/>
    </xf>
    <xf numFmtId="0" fontId="454" fillId="7" borderId="3" xfId="0" applyFont="1" applyFill="1" applyBorder="1" applyAlignment="1">
      <alignment horizontal="left" vertical="top" wrapText="1"/>
    </xf>
    <xf numFmtId="0" fontId="301" fillId="7" borderId="3" xfId="0" applyFont="1" applyFill="1" applyBorder="1" applyAlignment="1">
      <alignment horizontal="left" vertical="top" wrapText="1"/>
    </xf>
    <xf numFmtId="0" fontId="461" fillId="7" borderId="3" xfId="0" applyFont="1" applyFill="1" applyBorder="1" applyAlignment="1">
      <alignment horizontal="left" vertical="top" wrapText="1"/>
    </xf>
    <xf numFmtId="0" fontId="302" fillId="7" borderId="3" xfId="0" applyFont="1" applyFill="1" applyBorder="1" applyAlignment="1">
      <alignment horizontal="left" vertical="top" wrapText="1"/>
    </xf>
    <xf numFmtId="0" fontId="122" fillId="7" borderId="3" xfId="0" applyFont="1" applyFill="1" applyBorder="1" applyAlignment="1">
      <alignment horizontal="left" vertical="top" wrapText="1"/>
    </xf>
    <xf numFmtId="0" fontId="158" fillId="7" borderId="3" xfId="0" applyFont="1" applyFill="1" applyBorder="1" applyAlignment="1">
      <alignment horizontal="left" vertical="top" wrapText="1"/>
    </xf>
    <xf numFmtId="0" fontId="45" fillId="7" borderId="3" xfId="0" applyFont="1" applyFill="1" applyBorder="1" applyAlignment="1">
      <alignment horizontal="left" vertical="top" wrapText="1"/>
    </xf>
    <xf numFmtId="0" fontId="293" fillId="7" borderId="3" xfId="0" applyFont="1" applyFill="1" applyBorder="1" applyAlignment="1">
      <alignment horizontal="left" vertical="top" wrapText="1"/>
    </xf>
    <xf numFmtId="0" fontId="580" fillId="7" borderId="3" xfId="0" applyFont="1" applyFill="1" applyBorder="1" applyAlignment="1">
      <alignment horizontal="left" vertical="top" wrapText="1"/>
    </xf>
    <xf numFmtId="0" fontId="159" fillId="7" borderId="3" xfId="0" applyFont="1" applyFill="1" applyBorder="1" applyAlignment="1">
      <alignment horizontal="left" vertical="top" wrapText="1"/>
    </xf>
    <xf numFmtId="0" fontId="476" fillId="7" borderId="3" xfId="0" applyFont="1" applyFill="1" applyBorder="1" applyAlignment="1">
      <alignment horizontal="left" vertical="top" wrapText="1"/>
    </xf>
    <xf numFmtId="0" fontId="294" fillId="7" borderId="3" xfId="0" applyFont="1" applyFill="1" applyBorder="1" applyAlignment="1">
      <alignment horizontal="left" vertical="top" wrapText="1"/>
    </xf>
    <xf numFmtId="0" fontId="581" fillId="7" borderId="3" xfId="0" applyFont="1" applyFill="1" applyBorder="1" applyAlignment="1">
      <alignment horizontal="left" vertical="top" wrapText="1"/>
    </xf>
    <xf numFmtId="0" fontId="303" fillId="7" borderId="3" xfId="0" applyFont="1" applyFill="1" applyBorder="1" applyAlignment="1">
      <alignment horizontal="left" vertical="top" wrapText="1"/>
    </xf>
    <xf numFmtId="0" fontId="123" fillId="7" borderId="3" xfId="0" applyFont="1" applyFill="1" applyBorder="1" applyAlignment="1">
      <alignment horizontal="left" vertical="top" wrapText="1"/>
    </xf>
    <xf numFmtId="0" fontId="304" fillId="7" borderId="3" xfId="0" applyFont="1" applyFill="1" applyBorder="1" applyAlignment="1">
      <alignment horizontal="left" vertical="top" wrapText="1"/>
    </xf>
    <xf numFmtId="0" fontId="124" fillId="7" borderId="3" xfId="0" applyFont="1" applyFill="1" applyBorder="1" applyAlignment="1">
      <alignment horizontal="left" vertical="top" wrapText="1"/>
    </xf>
    <xf numFmtId="0" fontId="160" fillId="7" borderId="3" xfId="0" applyFont="1" applyFill="1" applyBorder="1" applyAlignment="1">
      <alignment horizontal="left" vertical="top" wrapText="1"/>
    </xf>
    <xf numFmtId="0" fontId="477" fillId="7" borderId="3" xfId="0" applyFont="1" applyFill="1" applyBorder="1" applyAlignment="1">
      <alignment horizontal="left" vertical="top" wrapText="1"/>
    </xf>
    <xf numFmtId="0" fontId="305" fillId="7" borderId="3" xfId="0" applyFont="1" applyFill="1" applyBorder="1" applyAlignment="1">
      <alignment horizontal="left" vertical="top" wrapText="1"/>
    </xf>
    <xf numFmtId="0" fontId="125" fillId="7" borderId="3" xfId="0" applyFont="1" applyFill="1" applyBorder="1" applyAlignment="1">
      <alignment horizontal="left" vertical="top" wrapText="1"/>
    </xf>
    <xf numFmtId="0" fontId="306" fillId="7" borderId="3" xfId="0" applyFont="1" applyFill="1" applyBorder="1" applyAlignment="1">
      <alignment horizontal="left" vertical="top" wrapText="1"/>
    </xf>
    <xf numFmtId="0" fontId="126" fillId="7" borderId="3" xfId="0" applyFont="1" applyFill="1" applyBorder="1" applyAlignment="1">
      <alignment horizontal="left" vertical="top" wrapText="1"/>
    </xf>
    <xf numFmtId="0" fontId="307" fillId="7" borderId="3" xfId="0" applyFont="1" applyFill="1" applyBorder="1" applyAlignment="1">
      <alignment horizontal="left" vertical="top" wrapText="1"/>
    </xf>
    <xf numFmtId="0" fontId="127" fillId="7" borderId="3" xfId="0" applyFont="1" applyFill="1" applyBorder="1" applyAlignment="1">
      <alignment horizontal="left" vertical="top" wrapText="1"/>
    </xf>
    <xf numFmtId="0" fontId="308" fillId="7" borderId="3" xfId="0" applyFont="1" applyFill="1" applyBorder="1" applyAlignment="1">
      <alignment horizontal="left" vertical="top" wrapText="1"/>
    </xf>
    <xf numFmtId="0" fontId="128" fillId="7" borderId="3" xfId="0" applyFont="1" applyFill="1" applyBorder="1" applyAlignment="1">
      <alignment horizontal="left" vertical="top" wrapText="1"/>
    </xf>
    <xf numFmtId="0" fontId="161" fillId="7" borderId="3" xfId="0" applyFont="1" applyFill="1" applyBorder="1" applyAlignment="1">
      <alignment horizontal="left" vertical="top" wrapText="1"/>
    </xf>
    <xf numFmtId="0" fontId="478" fillId="7" borderId="3" xfId="0" applyFont="1" applyFill="1" applyBorder="1" applyAlignment="1">
      <alignment horizontal="left" vertical="top" wrapText="1"/>
    </xf>
    <xf numFmtId="0" fontId="309" fillId="7" borderId="3" xfId="0" applyFont="1" applyFill="1" applyBorder="1" applyAlignment="1">
      <alignment horizontal="left" vertical="top" wrapText="1"/>
    </xf>
    <xf numFmtId="0" fontId="129" fillId="7" borderId="3" xfId="0" applyFont="1" applyFill="1" applyBorder="1" applyAlignment="1">
      <alignment horizontal="left" vertical="top" wrapText="1"/>
    </xf>
    <xf numFmtId="0" fontId="310" fillId="7" borderId="3" xfId="0" applyFont="1" applyFill="1" applyBorder="1" applyAlignment="1">
      <alignment horizontal="left" vertical="top" wrapText="1"/>
    </xf>
    <xf numFmtId="0" fontId="648" fillId="7" borderId="3" xfId="0" applyFont="1" applyFill="1" applyBorder="1" applyAlignment="1">
      <alignment horizontal="left" vertical="top" wrapText="1"/>
    </xf>
    <xf numFmtId="0" fontId="311" fillId="7" borderId="3" xfId="0" applyFont="1" applyFill="1" applyBorder="1" applyAlignment="1">
      <alignment horizontal="left" vertical="top" wrapText="1"/>
    </xf>
    <xf numFmtId="0" fontId="338" fillId="7" borderId="3" xfId="0" applyFont="1" applyFill="1" applyBorder="1" applyAlignment="1">
      <alignment horizontal="left" vertical="top" wrapText="1"/>
    </xf>
    <xf numFmtId="0" fontId="643" fillId="7" borderId="3" xfId="0" applyFont="1" applyFill="1" applyBorder="1" applyAlignment="1">
      <alignment horizontal="left" vertical="top" wrapText="1"/>
    </xf>
    <xf numFmtId="0" fontId="339" fillId="7" borderId="3" xfId="0" applyFont="1" applyFill="1" applyBorder="1" applyAlignment="1">
      <alignment horizontal="left" vertical="top" wrapText="1"/>
    </xf>
    <xf numFmtId="0" fontId="644" fillId="7" borderId="3" xfId="0" applyFont="1" applyFill="1" applyBorder="1" applyAlignment="1">
      <alignment horizontal="left" vertical="top" wrapText="1"/>
    </xf>
    <xf numFmtId="0" fontId="340" fillId="7" borderId="3" xfId="0" applyFont="1" applyFill="1" applyBorder="1" applyAlignment="1">
      <alignment horizontal="left" vertical="top" wrapText="1"/>
    </xf>
    <xf numFmtId="0" fontId="645" fillId="7" borderId="3" xfId="0" applyFont="1" applyFill="1" applyBorder="1" applyAlignment="1">
      <alignment horizontal="left" vertical="top" wrapText="1"/>
    </xf>
    <xf numFmtId="0" fontId="341" fillId="7" borderId="3" xfId="0" applyFont="1" applyFill="1" applyBorder="1" applyAlignment="1">
      <alignment horizontal="left" vertical="top" wrapText="1"/>
    </xf>
    <xf numFmtId="0" fontId="398" fillId="7" borderId="3" xfId="0" applyFont="1" applyFill="1" applyBorder="1" applyAlignment="1">
      <alignment horizontal="left" vertical="top" wrapText="1"/>
    </xf>
    <xf numFmtId="0" fontId="456" fillId="7" borderId="3" xfId="0" applyFont="1" applyFill="1" applyBorder="1" applyAlignment="1">
      <alignment horizontal="left" vertical="top" wrapText="1"/>
    </xf>
    <xf numFmtId="0" fontId="730" fillId="7" borderId="3" xfId="0" applyFont="1" applyFill="1" applyBorder="1" applyAlignment="1">
      <alignment horizontal="left" vertical="top" wrapText="1"/>
    </xf>
    <xf numFmtId="0" fontId="824" fillId="7" borderId="3" xfId="0" applyFont="1" applyFill="1" applyBorder="1" applyAlignment="1">
      <alignment horizontal="left" vertical="top" wrapText="1"/>
    </xf>
    <xf numFmtId="0" fontId="729" fillId="7" borderId="3" xfId="0" applyFont="1" applyFill="1" applyBorder="1" applyAlignment="1">
      <alignment horizontal="left" vertical="top" wrapText="1"/>
    </xf>
    <xf numFmtId="0" fontId="823" fillId="7" borderId="3" xfId="0" applyFont="1" applyFill="1" applyBorder="1" applyAlignment="1">
      <alignment horizontal="left" vertical="top" wrapText="1"/>
    </xf>
    <xf numFmtId="0" fontId="731" fillId="7" borderId="3" xfId="0" applyFont="1" applyFill="1" applyBorder="1" applyAlignment="1">
      <alignment horizontal="left" vertical="top" wrapText="1"/>
    </xf>
    <xf numFmtId="0" fontId="825" fillId="7" borderId="3" xfId="0" applyFont="1" applyFill="1" applyBorder="1" applyAlignment="1">
      <alignment horizontal="left" vertical="top" wrapText="1"/>
    </xf>
    <xf numFmtId="0" fontId="826" fillId="7" borderId="3" xfId="0" applyFont="1" applyFill="1" applyBorder="1" applyAlignment="1">
      <alignment horizontal="left" vertical="top" wrapText="1"/>
    </xf>
    <xf numFmtId="0" fontId="751" fillId="7" borderId="3" xfId="0" applyFont="1" applyFill="1" applyBorder="1" applyAlignment="1">
      <alignment horizontal="left" vertical="top" wrapText="1"/>
    </xf>
    <xf numFmtId="0" fontId="898" fillId="7" borderId="3" xfId="0" applyFont="1" applyFill="1" applyBorder="1" applyAlignment="1">
      <alignment horizontal="left" vertical="top" wrapText="1"/>
    </xf>
    <xf numFmtId="0" fontId="916" fillId="7" borderId="3" xfId="0" applyFont="1" applyFill="1" applyBorder="1" applyAlignment="1">
      <alignment horizontal="left" vertical="top" wrapText="1"/>
    </xf>
    <xf numFmtId="0" fontId="899" fillId="7" borderId="3" xfId="0" applyFont="1" applyFill="1" applyBorder="1" applyAlignment="1">
      <alignment horizontal="left" vertical="top" wrapText="1"/>
    </xf>
    <xf numFmtId="0" fontId="756" fillId="7" borderId="3" xfId="0" applyFont="1" applyFill="1" applyBorder="1" applyAlignment="1">
      <alignment horizontal="left" vertical="top" wrapText="1"/>
    </xf>
    <xf numFmtId="0" fontId="900" fillId="7" borderId="3" xfId="0" applyFont="1" applyFill="1" applyBorder="1" applyAlignment="1">
      <alignment horizontal="left" vertical="top" wrapText="1"/>
    </xf>
    <xf numFmtId="0" fontId="757" fillId="7" borderId="3" xfId="0" applyFont="1" applyFill="1" applyBorder="1" applyAlignment="1">
      <alignment horizontal="left" vertical="top" wrapText="1"/>
    </xf>
    <xf numFmtId="0" fontId="827" fillId="7" borderId="3" xfId="0" applyFont="1" applyFill="1" applyBorder="1" applyAlignment="1">
      <alignment horizontal="left" vertical="top" wrapText="1"/>
    </xf>
    <xf numFmtId="0" fontId="752" fillId="7" borderId="3" xfId="0" applyFont="1" applyFill="1" applyBorder="1" applyAlignment="1">
      <alignment horizontal="left" vertical="top" wrapText="1"/>
    </xf>
    <xf numFmtId="0" fontId="901" fillId="7" borderId="3" xfId="0" applyFont="1" applyFill="1" applyBorder="1" applyAlignment="1">
      <alignment horizontal="left" vertical="top" wrapText="1"/>
    </xf>
    <xf numFmtId="0" fontId="758" fillId="7" borderId="3" xfId="0" applyFont="1" applyFill="1" applyBorder="1" applyAlignment="1">
      <alignment horizontal="left" vertical="top" wrapText="1"/>
    </xf>
    <xf numFmtId="0" fontId="902" fillId="7" borderId="3" xfId="0" applyFont="1" applyFill="1" applyBorder="1" applyAlignment="1">
      <alignment horizontal="left" vertical="top" wrapText="1"/>
    </xf>
    <xf numFmtId="0" fontId="759" fillId="7" borderId="3" xfId="0" applyFont="1" applyFill="1" applyBorder="1" applyAlignment="1">
      <alignment horizontal="left" vertical="top" wrapText="1"/>
    </xf>
    <xf numFmtId="0" fontId="732" fillId="7" borderId="3" xfId="0" applyFont="1" applyFill="1" applyBorder="1" applyAlignment="1">
      <alignment horizontal="left" vertical="top" wrapText="1"/>
    </xf>
    <xf numFmtId="0" fontId="738" fillId="7" borderId="3" xfId="0" applyFont="1" applyFill="1" applyBorder="1" applyAlignment="1">
      <alignment horizontal="left" vertical="top" wrapText="1"/>
    </xf>
    <xf numFmtId="0" fontId="828" fillId="7" borderId="3" xfId="0" applyFont="1" applyFill="1" applyBorder="1" applyAlignment="1">
      <alignment horizontal="left" vertical="top" wrapText="1"/>
    </xf>
    <xf numFmtId="0" fontId="753" fillId="7" borderId="3" xfId="0" applyFont="1" applyFill="1" applyBorder="1" applyAlignment="1">
      <alignment horizontal="left" vertical="top" wrapText="1"/>
    </xf>
    <xf numFmtId="0" fontId="789" fillId="7" borderId="3" xfId="0" applyFont="1" applyFill="1" applyBorder="1" applyAlignment="1">
      <alignment horizontal="left" vertical="top" wrapText="1"/>
    </xf>
    <xf numFmtId="0" fontId="739" fillId="7" borderId="3" xfId="0" applyFont="1" applyFill="1" applyBorder="1" applyAlignment="1">
      <alignment horizontal="left" vertical="top" wrapText="1"/>
    </xf>
    <xf numFmtId="0" fontId="903" fillId="7" borderId="3" xfId="0" applyFont="1" applyFill="1" applyBorder="1" applyAlignment="1">
      <alignment horizontal="left" vertical="top" wrapText="1"/>
    </xf>
    <xf numFmtId="0" fontId="760" fillId="7" borderId="3" xfId="0" applyFont="1" applyFill="1" applyBorder="1" applyAlignment="1">
      <alignment horizontal="left" vertical="top" wrapText="1"/>
    </xf>
    <xf numFmtId="0" fontId="803" fillId="7" borderId="3" xfId="0" applyFont="1" applyFill="1" applyBorder="1" applyAlignment="1">
      <alignment horizontal="left" vertical="top" wrapText="1"/>
    </xf>
    <xf numFmtId="0" fontId="740" fillId="7" borderId="3" xfId="0" applyFont="1" applyFill="1" applyBorder="1" applyAlignment="1">
      <alignment horizontal="left" vertical="top" wrapText="1"/>
    </xf>
    <xf numFmtId="0" fontId="804" fillId="7" borderId="3" xfId="0" applyFont="1" applyFill="1" applyBorder="1" applyAlignment="1">
      <alignment horizontal="left" vertical="top" wrapText="1"/>
    </xf>
    <xf numFmtId="0" fontId="741" fillId="7" borderId="3" xfId="0" applyFont="1" applyFill="1" applyBorder="1" applyAlignment="1">
      <alignment horizontal="left" vertical="top" wrapText="1"/>
    </xf>
    <xf numFmtId="0" fontId="904" fillId="7" borderId="3" xfId="0" applyFont="1" applyFill="1" applyBorder="1" applyAlignment="1">
      <alignment horizontal="left" vertical="top" wrapText="1"/>
    </xf>
    <xf numFmtId="0" fontId="761" fillId="7" borderId="3" xfId="0" applyFont="1" applyFill="1" applyBorder="1" applyAlignment="1">
      <alignment horizontal="left" vertical="top" wrapText="1"/>
    </xf>
    <xf numFmtId="0" fontId="805" fillId="7" borderId="3" xfId="0" applyFont="1" applyFill="1" applyBorder="1" applyAlignment="1">
      <alignment horizontal="left" vertical="top" wrapText="1"/>
    </xf>
    <xf numFmtId="0" fontId="742" fillId="7" borderId="3" xfId="0" applyFont="1" applyFill="1" applyBorder="1" applyAlignment="1">
      <alignment horizontal="left" vertical="top" wrapText="1"/>
    </xf>
    <xf numFmtId="0" fontId="806" fillId="7" borderId="3" xfId="0" applyFont="1" applyFill="1" applyBorder="1" applyAlignment="1">
      <alignment horizontal="left" vertical="top" wrapText="1"/>
    </xf>
    <xf numFmtId="0" fontId="743" fillId="7" borderId="3" xfId="0" applyFont="1" applyFill="1" applyBorder="1" applyAlignment="1">
      <alignment horizontal="left" vertical="top" wrapText="1"/>
    </xf>
    <xf numFmtId="0" fontId="905" fillId="7" borderId="3" xfId="0" applyFont="1" applyFill="1" applyBorder="1" applyAlignment="1">
      <alignment horizontal="left" vertical="top" wrapText="1"/>
    </xf>
    <xf numFmtId="0" fontId="762" fillId="7" borderId="3" xfId="0" applyFont="1" applyFill="1" applyBorder="1" applyAlignment="1">
      <alignment horizontal="left" vertical="top" wrapText="1"/>
    </xf>
    <xf numFmtId="0" fontId="906" fillId="7" borderId="3" xfId="0" applyFont="1" applyFill="1" applyBorder="1" applyAlignment="1">
      <alignment horizontal="left" vertical="top" wrapText="1"/>
    </xf>
    <xf numFmtId="0" fontId="763" fillId="7" borderId="3" xfId="0" applyFont="1" applyFill="1" applyBorder="1" applyAlignment="1">
      <alignment horizontal="left" vertical="top" wrapText="1"/>
    </xf>
    <xf numFmtId="0" fontId="807" fillId="7" borderId="3" xfId="0" applyFont="1" applyFill="1" applyBorder="1" applyAlignment="1">
      <alignment horizontal="left" vertical="top" wrapText="1"/>
    </xf>
    <xf numFmtId="0" fontId="744" fillId="7" borderId="3" xfId="0" applyFont="1" applyFill="1" applyBorder="1" applyAlignment="1">
      <alignment horizontal="left" vertical="top" wrapText="1"/>
    </xf>
    <xf numFmtId="0" fontId="907" fillId="7" borderId="3" xfId="0" applyFont="1" applyFill="1" applyBorder="1" applyAlignment="1">
      <alignment horizontal="left" vertical="top" wrapText="1"/>
    </xf>
    <xf numFmtId="0" fontId="764" fillId="7" borderId="3" xfId="0" applyFont="1" applyFill="1" applyBorder="1" applyAlignment="1">
      <alignment horizontal="left" vertical="top" wrapText="1"/>
    </xf>
    <xf numFmtId="0" fontId="908" fillId="7" borderId="3" xfId="0" applyFont="1" applyFill="1" applyBorder="1" applyAlignment="1">
      <alignment horizontal="left" vertical="top" wrapText="1"/>
    </xf>
    <xf numFmtId="0" fontId="765" fillId="7" borderId="3" xfId="0" applyFont="1" applyFill="1" applyBorder="1" applyAlignment="1">
      <alignment horizontal="left" vertical="top" wrapText="1"/>
    </xf>
    <xf numFmtId="0" fontId="808" fillId="7" borderId="3" xfId="0" applyFont="1" applyFill="1" applyBorder="1" applyAlignment="1">
      <alignment horizontal="left" vertical="top" wrapText="1"/>
    </xf>
    <xf numFmtId="0" fontId="745" fillId="7" borderId="3" xfId="0" applyFont="1" applyFill="1" applyBorder="1" applyAlignment="1">
      <alignment horizontal="left" vertical="top" wrapText="1"/>
    </xf>
    <xf numFmtId="0" fontId="909" fillId="7" borderId="3" xfId="0" applyFont="1" applyFill="1" applyBorder="1" applyAlignment="1">
      <alignment horizontal="left" vertical="top" wrapText="1"/>
    </xf>
    <xf numFmtId="0" fontId="861" fillId="7" borderId="3" xfId="0" applyFont="1" applyFill="1" applyBorder="1" applyAlignment="1">
      <alignment horizontal="left" vertical="top" wrapText="1"/>
    </xf>
    <xf numFmtId="0" fontId="809" fillId="7" borderId="3" xfId="0" applyFont="1" applyFill="1" applyBorder="1" applyAlignment="1">
      <alignment horizontal="left" vertical="top" wrapText="1"/>
    </xf>
    <xf numFmtId="0" fontId="746" fillId="7" borderId="3" xfId="0" applyFont="1" applyFill="1" applyBorder="1" applyAlignment="1">
      <alignment horizontal="left" vertical="top" wrapText="1"/>
    </xf>
    <xf numFmtId="0" fontId="910" fillId="7" borderId="3" xfId="0" applyFont="1" applyFill="1" applyBorder="1" applyAlignment="1">
      <alignment horizontal="left" vertical="top" wrapText="1"/>
    </xf>
    <xf numFmtId="0" fontId="862" fillId="7" borderId="3" xfId="0" applyFont="1" applyFill="1" applyBorder="1" applyAlignment="1">
      <alignment horizontal="left" vertical="top" wrapText="1"/>
    </xf>
    <xf numFmtId="0" fontId="810" fillId="7" borderId="3" xfId="0" applyFont="1" applyFill="1" applyBorder="1" applyAlignment="1">
      <alignment horizontal="left" vertical="top" wrapText="1"/>
    </xf>
    <xf numFmtId="0" fontId="747" fillId="7" borderId="3" xfId="0" applyFont="1" applyFill="1" applyBorder="1" applyAlignment="1">
      <alignment horizontal="left" vertical="top" wrapText="1"/>
    </xf>
    <xf numFmtId="0" fontId="911" fillId="7" borderId="3" xfId="0" applyFont="1" applyFill="1" applyBorder="1" applyAlignment="1">
      <alignment horizontal="left" vertical="top" wrapText="1"/>
    </xf>
    <xf numFmtId="0" fontId="863" fillId="7" borderId="3" xfId="0" applyFont="1" applyFill="1" applyBorder="1" applyAlignment="1">
      <alignment horizontal="left" vertical="top" wrapText="1"/>
    </xf>
    <xf numFmtId="0" fontId="912" fillId="7" borderId="3" xfId="0" applyFont="1" applyFill="1" applyBorder="1" applyAlignment="1">
      <alignment horizontal="left" vertical="top" wrapText="1"/>
    </xf>
    <xf numFmtId="0" fontId="864" fillId="7" borderId="3" xfId="0" applyFont="1" applyFill="1" applyBorder="1" applyAlignment="1">
      <alignment horizontal="left" vertical="top" wrapText="1"/>
    </xf>
    <xf numFmtId="0" fontId="722" fillId="7" borderId="3" xfId="0" applyFont="1" applyFill="1" applyBorder="1" applyAlignment="1">
      <alignment horizontal="left" vertical="top" wrapText="1"/>
    </xf>
    <xf numFmtId="0" fontId="816" fillId="7" borderId="3" xfId="0" applyFont="1" applyFill="1" applyBorder="1" applyAlignment="1">
      <alignment horizontal="left" vertical="top" wrapText="1"/>
    </xf>
    <xf numFmtId="0" fontId="913" fillId="7" borderId="3" xfId="0" applyFont="1" applyFill="1" applyBorder="1" applyAlignment="1">
      <alignment horizontal="left" vertical="top" wrapText="1"/>
    </xf>
    <xf numFmtId="0" fontId="865" fillId="7" borderId="3" xfId="0" applyFont="1" applyFill="1" applyBorder="1" applyAlignment="1">
      <alignment horizontal="left" vertical="top" wrapText="1"/>
    </xf>
    <xf numFmtId="0" fontId="723" fillId="7" borderId="3" xfId="0" applyFont="1" applyFill="1" applyBorder="1" applyAlignment="1">
      <alignment horizontal="left" vertical="top" wrapText="1"/>
    </xf>
    <xf numFmtId="0" fontId="817" fillId="7" borderId="3" xfId="0" applyFont="1" applyFill="1" applyBorder="1" applyAlignment="1">
      <alignment horizontal="left" vertical="top" wrapText="1"/>
    </xf>
    <xf numFmtId="0" fontId="724" fillId="7" borderId="3" xfId="0" applyFont="1" applyFill="1" applyBorder="1" applyAlignment="1">
      <alignment horizontal="left" vertical="top" wrapText="1"/>
    </xf>
    <xf numFmtId="0" fontId="818" fillId="7" borderId="3" xfId="0" applyFont="1" applyFill="1" applyBorder="1" applyAlignment="1">
      <alignment horizontal="left" vertical="top" wrapText="1"/>
    </xf>
    <xf numFmtId="0" fontId="811" fillId="7" borderId="3" xfId="0" applyFont="1" applyFill="1" applyBorder="1" applyAlignment="1">
      <alignment horizontal="left" vertical="top" wrapText="1"/>
    </xf>
    <xf numFmtId="0" fontId="748" fillId="7" borderId="3" xfId="0" applyFont="1" applyFill="1" applyBorder="1" applyAlignment="1">
      <alignment horizontal="left" vertical="top" wrapText="1"/>
    </xf>
    <xf numFmtId="0" fontId="725" fillId="7" borderId="3" xfId="0" applyFont="1" applyFill="1" applyBorder="1" applyAlignment="1">
      <alignment horizontal="left" vertical="top" wrapText="1"/>
    </xf>
    <xf numFmtId="0" fontId="819" fillId="7" borderId="3" xfId="0" applyFont="1" applyFill="1" applyBorder="1" applyAlignment="1">
      <alignment horizontal="left" vertical="top" wrapText="1"/>
    </xf>
    <xf numFmtId="0" fontId="726" fillId="7" borderId="3" xfId="0" applyFont="1" applyFill="1" applyBorder="1" applyAlignment="1">
      <alignment horizontal="left" vertical="top" wrapText="1"/>
    </xf>
    <xf numFmtId="0" fontId="820" fillId="7" borderId="3" xfId="0" applyFont="1" applyFill="1" applyBorder="1" applyAlignment="1">
      <alignment horizontal="left" vertical="top" wrapText="1"/>
    </xf>
    <xf numFmtId="0" fontId="914" fillId="7" borderId="3" xfId="0" applyFont="1" applyFill="1" applyBorder="1" applyAlignment="1">
      <alignment horizontal="left" vertical="top" wrapText="1"/>
    </xf>
    <xf numFmtId="0" fontId="866" fillId="7" borderId="3" xfId="0" applyFont="1" applyFill="1" applyBorder="1" applyAlignment="1">
      <alignment horizontal="left" vertical="top" wrapText="1"/>
    </xf>
    <xf numFmtId="0" fontId="727" fillId="7" borderId="3" xfId="0" applyFont="1" applyFill="1" applyBorder="1" applyAlignment="1">
      <alignment horizontal="left" vertical="top" wrapText="1"/>
    </xf>
    <xf numFmtId="0" fontId="821" fillId="7" borderId="3" xfId="0" applyFont="1" applyFill="1" applyBorder="1" applyAlignment="1">
      <alignment horizontal="left" vertical="top" wrapText="1"/>
    </xf>
    <xf numFmtId="0" fontId="812" fillId="7" borderId="3" xfId="0" applyFont="1" applyFill="1" applyBorder="1" applyAlignment="1">
      <alignment horizontal="left" vertical="top" wrapText="1"/>
    </xf>
    <xf numFmtId="0" fontId="749" fillId="7" borderId="3" xfId="0" applyFont="1" applyFill="1" applyBorder="1" applyAlignment="1">
      <alignment horizontal="left" vertical="top" wrapText="1"/>
    </xf>
    <xf numFmtId="0" fontId="728" fillId="7" borderId="3" xfId="0" applyFont="1" applyFill="1" applyBorder="1" applyAlignment="1">
      <alignment horizontal="left" vertical="top" wrapText="1"/>
    </xf>
    <xf numFmtId="0" fontId="822" fillId="7" borderId="3" xfId="0" applyFont="1" applyFill="1" applyBorder="1" applyAlignment="1">
      <alignment horizontal="left" vertical="top" wrapText="1"/>
    </xf>
    <xf numFmtId="0" fontId="1009" fillId="7" borderId="3" xfId="0" applyFont="1" applyFill="1" applyBorder="1" applyAlignment="1">
      <alignment horizontal="left" vertical="top" wrapText="1"/>
    </xf>
    <xf numFmtId="0" fontId="983" fillId="7" borderId="3" xfId="0" applyFont="1" applyFill="1" applyBorder="1" applyAlignment="1">
      <alignment horizontal="left" vertical="top" wrapText="1"/>
    </xf>
    <xf numFmtId="0" fontId="1053" fillId="7" borderId="3" xfId="0" applyFont="1" applyFill="1" applyBorder="1" applyAlignment="1">
      <alignment horizontal="left" vertical="top" wrapText="1"/>
    </xf>
    <xf numFmtId="0" fontId="1214" fillId="7" borderId="3" xfId="0" applyFont="1" applyFill="1" applyBorder="1" applyAlignment="1">
      <alignment horizontal="left" vertical="top" wrapText="1"/>
    </xf>
    <xf numFmtId="0" fontId="1006" fillId="7" borderId="3" xfId="0" applyFont="1" applyFill="1" applyBorder="1" applyAlignment="1">
      <alignment horizontal="left" vertical="top" wrapText="1"/>
    </xf>
    <xf numFmtId="0" fontId="980" fillId="7" borderId="3" xfId="0" applyFont="1" applyFill="1" applyBorder="1" applyAlignment="1">
      <alignment horizontal="left" vertical="top" wrapText="1"/>
    </xf>
    <xf numFmtId="0" fontId="1003" fillId="7" borderId="3" xfId="0" applyFont="1" applyFill="1" applyBorder="1" applyAlignment="1">
      <alignment horizontal="left" vertical="top" wrapText="1"/>
    </xf>
    <xf numFmtId="0" fontId="977" fillId="7" borderId="3" xfId="0" applyFont="1" applyFill="1" applyBorder="1" applyAlignment="1">
      <alignment horizontal="left" vertical="top" wrapText="1"/>
    </xf>
    <xf numFmtId="0" fontId="1004" fillId="7" borderId="3" xfId="0" applyFont="1" applyFill="1" applyBorder="1" applyAlignment="1">
      <alignment horizontal="left" vertical="top" wrapText="1"/>
    </xf>
    <xf numFmtId="0" fontId="978" fillId="7" borderId="3" xfId="0" applyFont="1" applyFill="1" applyBorder="1" applyAlignment="1">
      <alignment horizontal="left" vertical="top" wrapText="1"/>
    </xf>
    <xf numFmtId="0" fontId="1005" fillId="7" borderId="3" xfId="0" applyFont="1" applyFill="1" applyBorder="1" applyAlignment="1">
      <alignment horizontal="left" vertical="top" wrapText="1"/>
    </xf>
    <xf numFmtId="0" fontId="979" fillId="7" borderId="3" xfId="0" applyFont="1" applyFill="1" applyBorder="1" applyAlignment="1">
      <alignment horizontal="left" vertical="top" wrapText="1"/>
    </xf>
    <xf numFmtId="0" fontId="1007" fillId="7" borderId="3" xfId="0" applyFont="1" applyFill="1" applyBorder="1" applyAlignment="1">
      <alignment horizontal="left" vertical="top" wrapText="1"/>
    </xf>
    <xf numFmtId="0" fontId="981" fillId="7" borderId="3" xfId="0" applyFont="1" applyFill="1" applyBorder="1" applyAlignment="1">
      <alignment horizontal="left" vertical="top" wrapText="1"/>
    </xf>
    <xf numFmtId="0" fontId="1008" fillId="7" borderId="3" xfId="0" applyFont="1" applyFill="1" applyBorder="1" applyAlignment="1">
      <alignment horizontal="left" vertical="top" wrapText="1"/>
    </xf>
    <xf numFmtId="0" fontId="982" fillId="7" borderId="3" xfId="0" applyFont="1" applyFill="1" applyBorder="1" applyAlignment="1">
      <alignment horizontal="left" vertical="top" wrapText="1"/>
    </xf>
    <xf numFmtId="0" fontId="1100" fillId="7" borderId="3" xfId="0" applyFont="1" applyFill="1" applyBorder="1" applyAlignment="1">
      <alignment horizontal="left" vertical="top" wrapText="1"/>
    </xf>
    <xf numFmtId="0" fontId="984" fillId="7" borderId="3" xfId="0" applyFont="1" applyFill="1" applyBorder="1" applyAlignment="1">
      <alignment horizontal="left" vertical="top" wrapText="1"/>
    </xf>
    <xf numFmtId="0" fontId="1101" fillId="7" borderId="3" xfId="0" applyFont="1" applyFill="1" applyBorder="1" applyAlignment="1">
      <alignment horizontal="left" vertical="top" wrapText="1"/>
    </xf>
    <xf numFmtId="0" fontId="985" fillId="7" borderId="3" xfId="0" applyFont="1" applyFill="1" applyBorder="1" applyAlignment="1">
      <alignment horizontal="left" vertical="top" wrapText="1"/>
    </xf>
    <xf numFmtId="0" fontId="1102" fillId="7" borderId="3" xfId="0" applyFont="1" applyFill="1" applyBorder="1" applyAlignment="1">
      <alignment horizontal="left" vertical="top" wrapText="1"/>
    </xf>
    <xf numFmtId="0" fontId="986" fillId="7" borderId="3" xfId="0" applyFont="1" applyFill="1" applyBorder="1" applyAlignment="1">
      <alignment horizontal="left" vertical="top" wrapText="1"/>
    </xf>
    <xf numFmtId="0" fontId="1103" fillId="7" borderId="3" xfId="0" applyFont="1" applyFill="1" applyBorder="1" applyAlignment="1">
      <alignment horizontal="left" vertical="top" wrapText="1"/>
    </xf>
    <xf numFmtId="0" fontId="1029" fillId="7" borderId="3" xfId="0" applyFont="1" applyFill="1" applyBorder="1" applyAlignment="1">
      <alignment horizontal="left" vertical="top" wrapText="1"/>
    </xf>
    <xf numFmtId="0" fontId="1104" fillId="7" borderId="3" xfId="0" applyFont="1" applyFill="1" applyBorder="1" applyAlignment="1">
      <alignment horizontal="left" vertical="top" wrapText="1"/>
    </xf>
    <xf numFmtId="0" fontId="1030" fillId="7" borderId="3" xfId="0" applyFont="1" applyFill="1" applyBorder="1" applyAlignment="1">
      <alignment horizontal="left" vertical="top" wrapText="1"/>
    </xf>
    <xf numFmtId="0" fontId="1010" fillId="7" borderId="3" xfId="0" applyFont="1" applyFill="1" applyBorder="1" applyAlignment="1">
      <alignment horizontal="left" vertical="top" wrapText="1"/>
    </xf>
    <xf numFmtId="0" fontId="1031" fillId="7" borderId="3" xfId="0" applyFont="1" applyFill="1" applyBorder="1" applyAlignment="1">
      <alignment horizontal="left" vertical="top" wrapText="1"/>
    </xf>
    <xf numFmtId="0" fontId="1011" fillId="7" borderId="3" xfId="0" applyFont="1" applyFill="1" applyBorder="1" applyAlignment="1">
      <alignment horizontal="left" vertical="top" wrapText="1"/>
    </xf>
    <xf numFmtId="0" fontId="1032" fillId="7" borderId="3" xfId="0" applyFont="1" applyFill="1" applyBorder="1" applyAlignment="1">
      <alignment horizontal="left" vertical="top" wrapText="1"/>
    </xf>
    <xf numFmtId="0" fontId="1012" fillId="7" borderId="3" xfId="0" applyFont="1" applyFill="1" applyBorder="1" applyAlignment="1">
      <alignment horizontal="left" vertical="top" wrapText="1"/>
    </xf>
    <xf numFmtId="0" fontId="1033" fillId="7" borderId="3" xfId="0" applyFont="1" applyFill="1" applyBorder="1" applyAlignment="1">
      <alignment horizontal="left" vertical="top" wrapText="1"/>
    </xf>
    <xf numFmtId="0" fontId="1013" fillId="7" borderId="3" xfId="0" applyFont="1" applyFill="1" applyBorder="1" applyAlignment="1">
      <alignment horizontal="left" vertical="top" wrapText="1"/>
    </xf>
    <xf numFmtId="0" fontId="1034" fillId="7" borderId="3" xfId="0" applyFont="1" applyFill="1" applyBorder="1" applyAlignment="1">
      <alignment horizontal="left" vertical="top" wrapText="1"/>
    </xf>
    <xf numFmtId="0" fontId="1014" fillId="7" borderId="3" xfId="0" applyFont="1" applyFill="1" applyBorder="1" applyAlignment="1">
      <alignment horizontal="left" vertical="top" wrapText="1"/>
    </xf>
    <xf numFmtId="0" fontId="1035" fillId="7" borderId="3" xfId="0" applyFont="1" applyFill="1" applyBorder="1" applyAlignment="1">
      <alignment horizontal="left" vertical="top" wrapText="1"/>
    </xf>
    <xf numFmtId="0" fontId="1015" fillId="7" borderId="3" xfId="0" applyFont="1" applyFill="1" applyBorder="1" applyAlignment="1">
      <alignment horizontal="left" vertical="top" wrapText="1"/>
    </xf>
    <xf numFmtId="0" fontId="1036" fillId="7" borderId="3" xfId="0" applyFont="1" applyFill="1" applyBorder="1" applyAlignment="1">
      <alignment horizontal="left" vertical="top" wrapText="1"/>
    </xf>
    <xf numFmtId="0" fontId="1016" fillId="7" borderId="3" xfId="0" applyFont="1" applyFill="1" applyBorder="1" applyAlignment="1">
      <alignment horizontal="left" vertical="top" wrapText="1"/>
    </xf>
    <xf numFmtId="0" fontId="1037" fillId="7" borderId="3" xfId="0" applyFont="1" applyFill="1" applyBorder="1" applyAlignment="1">
      <alignment horizontal="left" vertical="top" wrapText="1"/>
    </xf>
    <xf numFmtId="0" fontId="1017" fillId="7" borderId="3" xfId="0" applyFont="1" applyFill="1" applyBorder="1" applyAlignment="1">
      <alignment horizontal="left" vertical="top" wrapText="1"/>
    </xf>
    <xf numFmtId="0" fontId="1038" fillId="7" borderId="3" xfId="0" applyFont="1" applyFill="1" applyBorder="1" applyAlignment="1">
      <alignment horizontal="left" vertical="top" wrapText="1"/>
    </xf>
    <xf numFmtId="0" fontId="1018" fillId="7" borderId="3" xfId="0" applyFont="1" applyFill="1" applyBorder="1" applyAlignment="1">
      <alignment horizontal="left" vertical="top" wrapText="1"/>
    </xf>
    <xf numFmtId="0" fontId="1039" fillId="7" borderId="3" xfId="0" applyFont="1" applyFill="1" applyBorder="1" applyAlignment="1">
      <alignment horizontal="left" vertical="top" wrapText="1"/>
    </xf>
    <xf numFmtId="0" fontId="1065" fillId="7" borderId="3" xfId="0" applyFont="1" applyFill="1" applyBorder="1" applyAlignment="1">
      <alignment horizontal="left" vertical="top" wrapText="1"/>
    </xf>
    <xf numFmtId="0" fontId="1040" fillId="7" borderId="3" xfId="0" applyFont="1" applyFill="1" applyBorder="1" applyAlignment="1">
      <alignment horizontal="left" vertical="top" wrapText="1"/>
    </xf>
    <xf numFmtId="0" fontId="1066" fillId="7" borderId="3" xfId="0" applyFont="1" applyFill="1" applyBorder="1" applyAlignment="1">
      <alignment horizontal="left" vertical="top" wrapText="1"/>
    </xf>
    <xf numFmtId="0" fontId="1041" fillId="7" borderId="3" xfId="0" applyFont="1" applyFill="1" applyBorder="1" applyAlignment="1">
      <alignment horizontal="left" vertical="top" wrapText="1"/>
    </xf>
    <xf numFmtId="0" fontId="1067" fillId="7" borderId="3" xfId="0" applyFont="1" applyFill="1" applyBorder="1" applyAlignment="1">
      <alignment horizontal="left" vertical="top" wrapText="1"/>
    </xf>
    <xf numFmtId="0" fontId="1043" fillId="7" borderId="3" xfId="0" applyFont="1" applyFill="1" applyBorder="1" applyAlignment="1">
      <alignment horizontal="left" vertical="top" wrapText="1"/>
    </xf>
    <xf numFmtId="0" fontId="1068" fillId="7" borderId="3" xfId="0" applyFont="1" applyFill="1" applyBorder="1" applyAlignment="1">
      <alignment horizontal="left" vertical="top" wrapText="1"/>
    </xf>
    <xf numFmtId="0" fontId="1044" fillId="7" borderId="3" xfId="0" applyFont="1" applyFill="1" applyBorder="1" applyAlignment="1">
      <alignment horizontal="left" vertical="top" wrapText="1"/>
    </xf>
    <xf numFmtId="0" fontId="1069" fillId="7" borderId="3" xfId="0" applyFont="1" applyFill="1" applyBorder="1" applyAlignment="1">
      <alignment horizontal="left" vertical="top" wrapText="1"/>
    </xf>
    <xf numFmtId="0" fontId="1045" fillId="7" borderId="3" xfId="0" applyFont="1" applyFill="1" applyBorder="1" applyAlignment="1">
      <alignment horizontal="left" vertical="top" wrapText="1"/>
    </xf>
    <xf numFmtId="0" fontId="1070" fillId="7" borderId="3" xfId="0" applyFont="1" applyFill="1" applyBorder="1" applyAlignment="1">
      <alignment horizontal="left" vertical="top" wrapText="1"/>
    </xf>
    <xf numFmtId="0" fontId="1046" fillId="7" borderId="3" xfId="0" applyFont="1" applyFill="1" applyBorder="1" applyAlignment="1">
      <alignment horizontal="left" vertical="top" wrapText="1"/>
    </xf>
    <xf numFmtId="0" fontId="1071" fillId="7" borderId="3" xfId="0" applyFont="1" applyFill="1" applyBorder="1" applyAlignment="1">
      <alignment horizontal="left" vertical="top" wrapText="1"/>
    </xf>
    <xf numFmtId="0" fontId="1047" fillId="7" borderId="3" xfId="0" applyFont="1" applyFill="1" applyBorder="1" applyAlignment="1">
      <alignment horizontal="left" vertical="top" wrapText="1"/>
    </xf>
    <xf numFmtId="0" fontId="1072" fillId="7" borderId="3" xfId="0" applyFont="1" applyFill="1" applyBorder="1" applyAlignment="1">
      <alignment horizontal="left" vertical="top" wrapText="1"/>
    </xf>
    <xf numFmtId="0" fontId="1048" fillId="7" borderId="3" xfId="0" applyFont="1" applyFill="1" applyBorder="1" applyAlignment="1">
      <alignment horizontal="left" vertical="top" wrapText="1"/>
    </xf>
    <xf numFmtId="0" fontId="1073" fillId="7" borderId="3" xfId="0" applyFont="1" applyFill="1" applyBorder="1" applyAlignment="1">
      <alignment horizontal="left" vertical="top" wrapText="1"/>
    </xf>
    <xf numFmtId="0" fontId="1049" fillId="7" borderId="3" xfId="0" applyFont="1" applyFill="1" applyBorder="1" applyAlignment="1">
      <alignment horizontal="left" vertical="top" wrapText="1"/>
    </xf>
    <xf numFmtId="0" fontId="1074" fillId="7" borderId="3" xfId="0" applyFont="1" applyFill="1" applyBorder="1" applyAlignment="1">
      <alignment horizontal="left" vertical="top" wrapText="1"/>
    </xf>
    <xf numFmtId="0" fontId="1050" fillId="7" borderId="3" xfId="0" applyFont="1" applyFill="1" applyBorder="1" applyAlignment="1">
      <alignment horizontal="left" vertical="top" wrapText="1"/>
    </xf>
    <xf numFmtId="0" fontId="1075" fillId="7" borderId="3" xfId="0" applyFont="1" applyFill="1" applyBorder="1" applyAlignment="1">
      <alignment horizontal="left" vertical="top" wrapText="1"/>
    </xf>
    <xf numFmtId="0" fontId="1178" fillId="7" borderId="3" xfId="0" applyFont="1" applyFill="1" applyBorder="1" applyAlignment="1">
      <alignment horizontal="left" vertical="top" wrapText="1"/>
    </xf>
    <xf numFmtId="0" fontId="1076" fillId="7" borderId="3" xfId="0" applyFont="1" applyFill="1" applyBorder="1" applyAlignment="1">
      <alignment horizontal="left" vertical="top" wrapText="1"/>
    </xf>
    <xf numFmtId="0" fontId="1179" fillId="7" borderId="3" xfId="0" applyFont="1" applyFill="1" applyBorder="1" applyAlignment="1">
      <alignment horizontal="left" vertical="top" wrapText="1"/>
    </xf>
    <xf numFmtId="0" fontId="1077" fillId="7" borderId="3" xfId="0" applyFont="1" applyFill="1" applyBorder="1" applyAlignment="1">
      <alignment horizontal="left" vertical="top" wrapText="1"/>
    </xf>
    <xf numFmtId="0" fontId="1180" fillId="7" borderId="3" xfId="0" applyFont="1" applyFill="1" applyBorder="1" applyAlignment="1">
      <alignment horizontal="left" vertical="top" wrapText="1"/>
    </xf>
    <xf numFmtId="0" fontId="1078" fillId="7" borderId="3" xfId="0" applyFont="1" applyFill="1" applyBorder="1" applyAlignment="1">
      <alignment horizontal="left" vertical="top" wrapText="1"/>
    </xf>
    <xf numFmtId="0" fontId="1181" fillId="7" borderId="3" xfId="0" applyFont="1" applyFill="1" applyBorder="1" applyAlignment="1">
      <alignment horizontal="left" vertical="top" wrapText="1"/>
    </xf>
    <xf numFmtId="0" fontId="1079" fillId="7" borderId="3" xfId="0" applyFont="1" applyFill="1" applyBorder="1" applyAlignment="1">
      <alignment horizontal="left" vertical="top" wrapText="1"/>
    </xf>
    <xf numFmtId="0" fontId="1182" fillId="7" borderId="3" xfId="0" applyFont="1" applyFill="1" applyBorder="1" applyAlignment="1">
      <alignment horizontal="left" vertical="top" wrapText="1"/>
    </xf>
    <xf numFmtId="0" fontId="1080" fillId="7" borderId="3" xfId="0" applyFont="1" applyFill="1" applyBorder="1" applyAlignment="1">
      <alignment horizontal="left" vertical="top" wrapText="1"/>
    </xf>
    <xf numFmtId="0" fontId="1183" fillId="7" borderId="3" xfId="0" applyFont="1" applyFill="1" applyBorder="1" applyAlignment="1">
      <alignment horizontal="left" vertical="top" wrapText="1"/>
    </xf>
    <xf numFmtId="0" fontId="1081" fillId="7" borderId="3" xfId="0" applyFont="1" applyFill="1" applyBorder="1" applyAlignment="1">
      <alignment horizontal="left" vertical="top" wrapText="1"/>
    </xf>
    <xf numFmtId="0" fontId="1274" fillId="7" borderId="3" xfId="0" applyFont="1" applyFill="1" applyBorder="1" applyAlignment="1">
      <alignment horizontal="left" vertical="top" wrapText="1"/>
    </xf>
    <xf numFmtId="0" fontId="1082" fillId="7" borderId="3" xfId="0" applyFont="1" applyFill="1" applyBorder="1" applyAlignment="1">
      <alignment horizontal="left" vertical="top" wrapText="1"/>
    </xf>
    <xf numFmtId="0" fontId="963" fillId="7" borderId="3" xfId="0" applyFont="1" applyFill="1" applyBorder="1" applyAlignment="1">
      <alignment horizontal="left" vertical="top" wrapText="1"/>
    </xf>
    <xf numFmtId="0" fontId="1083" fillId="7" borderId="3" xfId="0" applyFont="1" applyFill="1" applyBorder="1" applyAlignment="1">
      <alignment horizontal="left" vertical="top" wrapText="1"/>
    </xf>
    <xf numFmtId="0" fontId="1212" fillId="7" borderId="3" xfId="0" applyFont="1" applyFill="1" applyBorder="1" applyAlignment="1">
      <alignment horizontal="left" vertical="top" wrapText="1"/>
    </xf>
    <xf numFmtId="0" fontId="1052" fillId="7" borderId="3" xfId="0" applyFont="1" applyFill="1" applyBorder="1" applyAlignment="1">
      <alignment horizontal="left" vertical="top" wrapText="1"/>
    </xf>
    <xf numFmtId="0" fontId="1213" fillId="7" borderId="3" xfId="0" applyFont="1" applyFill="1" applyBorder="1" applyAlignment="1">
      <alignment horizontal="left" vertical="top" wrapText="1"/>
    </xf>
    <xf numFmtId="0" fontId="1215" fillId="7" borderId="3" xfId="0" applyFont="1" applyFill="1" applyBorder="1" applyAlignment="1">
      <alignment horizontal="left" vertical="top" wrapText="1"/>
    </xf>
    <xf numFmtId="0" fontId="1228" fillId="7" borderId="3" xfId="0" applyFont="1" applyFill="1" applyBorder="1" applyAlignment="1">
      <alignment horizontal="left" vertical="top" wrapText="1"/>
    </xf>
    <xf numFmtId="0" fontId="1216" fillId="7" borderId="3" xfId="0" applyFont="1" applyFill="1" applyBorder="1" applyAlignment="1">
      <alignment horizontal="left" vertical="top" wrapText="1"/>
    </xf>
    <xf numFmtId="0" fontId="1229" fillId="7" borderId="3" xfId="0" applyFont="1" applyFill="1" applyBorder="1" applyAlignment="1">
      <alignment horizontal="left" vertical="top" wrapText="1"/>
    </xf>
    <xf numFmtId="0" fontId="1217" fillId="7" borderId="3" xfId="0" applyFont="1" applyFill="1" applyBorder="1" applyAlignment="1">
      <alignment horizontal="left" vertical="top" wrapText="1"/>
    </xf>
    <xf numFmtId="0" fontId="1230" fillId="7" borderId="3" xfId="0" applyFont="1" applyFill="1" applyBorder="1" applyAlignment="1">
      <alignment horizontal="left" vertical="top" wrapText="1"/>
    </xf>
    <xf numFmtId="0" fontId="1218" fillId="7" borderId="3" xfId="0" applyFont="1" applyFill="1" applyBorder="1" applyAlignment="1">
      <alignment horizontal="left" vertical="top" wrapText="1"/>
    </xf>
    <xf numFmtId="0" fontId="1231" fillId="7" borderId="3" xfId="0" applyFont="1" applyFill="1" applyBorder="1" applyAlignment="1">
      <alignment horizontal="left" vertical="top" wrapText="1"/>
    </xf>
    <xf numFmtId="0" fontId="1219" fillId="7" borderId="3" xfId="0" applyFont="1" applyFill="1" applyBorder="1" applyAlignment="1">
      <alignment horizontal="left" vertical="top" wrapText="1"/>
    </xf>
    <xf numFmtId="0" fontId="1259" fillId="7" borderId="3" xfId="0" applyFont="1" applyFill="1" applyBorder="1" applyAlignment="1">
      <alignment horizontal="left" vertical="top" wrapText="1"/>
    </xf>
    <xf numFmtId="0" fontId="1220" fillId="7" borderId="3" xfId="0" applyFont="1" applyFill="1" applyBorder="1" applyAlignment="1">
      <alignment horizontal="left" vertical="top" wrapText="1"/>
    </xf>
    <xf numFmtId="0" fontId="1232" fillId="7" borderId="3" xfId="0" applyFont="1" applyFill="1" applyBorder="1" applyAlignment="1">
      <alignment horizontal="left" vertical="top" wrapText="1"/>
    </xf>
    <xf numFmtId="0" fontId="1221" fillId="7" borderId="3" xfId="0" applyFont="1" applyFill="1" applyBorder="1" applyAlignment="1">
      <alignment horizontal="left" vertical="top" wrapText="1"/>
    </xf>
    <xf numFmtId="0" fontId="1233" fillId="7" borderId="3" xfId="0" applyFont="1" applyFill="1" applyBorder="1" applyAlignment="1">
      <alignment horizontal="left" vertical="top" wrapText="1"/>
    </xf>
    <xf numFmtId="0" fontId="1222" fillId="7" borderId="3" xfId="0" applyFont="1" applyFill="1" applyBorder="1" applyAlignment="1">
      <alignment horizontal="left" vertical="top" wrapText="1"/>
    </xf>
    <xf numFmtId="0" fontId="1234" fillId="7" borderId="3" xfId="0" applyFont="1" applyFill="1" applyBorder="1" applyAlignment="1">
      <alignment horizontal="left" vertical="top" wrapText="1"/>
    </xf>
    <xf numFmtId="0" fontId="1224" fillId="7" borderId="3" xfId="0" applyFont="1" applyFill="1" applyBorder="1" applyAlignment="1">
      <alignment horizontal="left" vertical="top" wrapText="1"/>
    </xf>
    <xf numFmtId="0" fontId="1235" fillId="7" borderId="3" xfId="0" applyFont="1" applyFill="1" applyBorder="1" applyAlignment="1">
      <alignment horizontal="left" vertical="top" wrapText="1"/>
    </xf>
    <xf numFmtId="0" fontId="1225" fillId="7" borderId="3" xfId="0" applyFont="1" applyFill="1" applyBorder="1" applyAlignment="1">
      <alignment horizontal="left" vertical="top" wrapText="1"/>
    </xf>
    <xf numFmtId="0" fontId="965" fillId="7" borderId="3" xfId="0" applyFont="1" applyFill="1" applyBorder="1" applyAlignment="1">
      <alignment horizontal="left" vertical="top" wrapText="1"/>
    </xf>
    <xf numFmtId="0" fontId="1226" fillId="7" borderId="3" xfId="0" applyFont="1" applyFill="1" applyBorder="1" applyAlignment="1">
      <alignment horizontal="left" vertical="top" wrapText="1"/>
    </xf>
    <xf numFmtId="0" fontId="966" fillId="7" borderId="3" xfId="0" applyFont="1" applyFill="1" applyBorder="1" applyAlignment="1">
      <alignment horizontal="left" vertical="top" wrapText="1"/>
    </xf>
    <xf numFmtId="0" fontId="987" fillId="7" borderId="3" xfId="0" applyFont="1" applyFill="1" applyBorder="1" applyAlignment="1">
      <alignment horizontal="left" vertical="top" wrapText="1"/>
    </xf>
    <xf numFmtId="0" fontId="967" fillId="7" borderId="3" xfId="0" applyFont="1" applyFill="1" applyBorder="1" applyAlignment="1">
      <alignment horizontal="left" vertical="top" wrapText="1"/>
    </xf>
    <xf numFmtId="0" fontId="988" fillId="7" borderId="3" xfId="0" applyFont="1" applyFill="1" applyBorder="1" applyAlignment="1">
      <alignment horizontal="left" vertical="top" wrapText="1"/>
    </xf>
    <xf numFmtId="0" fontId="968" fillId="7" borderId="3" xfId="0" applyFont="1" applyFill="1" applyBorder="1" applyAlignment="1">
      <alignment horizontal="left" vertical="top" wrapText="1"/>
    </xf>
    <xf numFmtId="0" fontId="991" fillId="7" borderId="3" xfId="0" applyFont="1" applyFill="1" applyBorder="1" applyAlignment="1">
      <alignment horizontal="left" vertical="top" wrapText="1"/>
    </xf>
    <xf numFmtId="0" fontId="969" fillId="7" borderId="3" xfId="0" applyFont="1" applyFill="1" applyBorder="1" applyAlignment="1">
      <alignment horizontal="left" vertical="top" wrapText="1"/>
    </xf>
    <xf numFmtId="0" fontId="992" fillId="7" borderId="3" xfId="0" applyFont="1" applyFill="1" applyBorder="1" applyAlignment="1">
      <alignment horizontal="left" vertical="top" wrapText="1"/>
    </xf>
    <xf numFmtId="0" fontId="970" fillId="7" borderId="3" xfId="0" applyFont="1" applyFill="1" applyBorder="1" applyAlignment="1">
      <alignment horizontal="left" vertical="top" wrapText="1"/>
    </xf>
    <xf numFmtId="0" fontId="989" fillId="7" borderId="3" xfId="0" applyFont="1" applyFill="1" applyBorder="1" applyAlignment="1">
      <alignment horizontal="left" vertical="top" wrapText="1"/>
    </xf>
    <xf numFmtId="0" fontId="1097" fillId="7" borderId="3" xfId="0" applyFont="1" applyFill="1" applyBorder="1" applyAlignment="1">
      <alignment horizontal="left" vertical="top" wrapText="1"/>
    </xf>
    <xf numFmtId="0" fontId="990" fillId="7" borderId="3" xfId="0" applyFont="1" applyFill="1" applyBorder="1" applyAlignment="1">
      <alignment horizontal="left" vertical="top" wrapText="1"/>
    </xf>
    <xf numFmtId="0" fontId="1098" fillId="7" borderId="3" xfId="0" applyFont="1" applyFill="1" applyBorder="1" applyAlignment="1">
      <alignment horizontal="left" vertical="top" wrapText="1"/>
    </xf>
    <xf numFmtId="0" fontId="995" fillId="7" borderId="3" xfId="0" applyFont="1" applyFill="1" applyBorder="1" applyAlignment="1">
      <alignment horizontal="left" vertical="top" wrapText="1"/>
    </xf>
    <xf numFmtId="0" fontId="1099" fillId="7" borderId="3" xfId="0" applyFont="1" applyFill="1" applyBorder="1" applyAlignment="1">
      <alignment horizontal="left" vertical="top" wrapText="1"/>
    </xf>
    <xf numFmtId="0" fontId="993" fillId="7" borderId="3" xfId="0" applyFont="1" applyFill="1" applyBorder="1" applyAlignment="1">
      <alignment horizontal="left" vertical="top" wrapText="1"/>
    </xf>
    <xf numFmtId="0" fontId="1275" fillId="7" borderId="3" xfId="0" applyFont="1" applyFill="1" applyBorder="1" applyAlignment="1">
      <alignment horizontal="left" vertical="top" wrapText="1"/>
    </xf>
    <xf numFmtId="0" fontId="994" fillId="7" borderId="3" xfId="0" applyFont="1" applyFill="1" applyBorder="1" applyAlignment="1">
      <alignment horizontal="left" vertical="top" wrapText="1"/>
    </xf>
    <xf numFmtId="0" fontId="1193" fillId="7" borderId="3" xfId="0" applyFont="1" applyFill="1" applyBorder="1" applyAlignment="1">
      <alignment horizontal="left" vertical="top" wrapText="1"/>
    </xf>
    <xf numFmtId="0" fontId="996" fillId="7" borderId="3" xfId="0" applyFont="1" applyFill="1" applyBorder="1" applyAlignment="1">
      <alignment horizontal="left" vertical="top" wrapText="1"/>
    </xf>
    <xf numFmtId="0" fontId="1042" fillId="7" borderId="3" xfId="0" applyFont="1" applyFill="1" applyBorder="1" applyAlignment="1">
      <alignment horizontal="left" vertical="top" wrapText="1"/>
    </xf>
    <xf numFmtId="0" fontId="997" fillId="7" borderId="3" xfId="0" applyFont="1" applyFill="1" applyBorder="1" applyAlignment="1">
      <alignment horizontal="left" vertical="top" wrapText="1"/>
    </xf>
    <xf numFmtId="0" fontId="971" fillId="7" borderId="3" xfId="0" applyFont="1" applyFill="1" applyBorder="1" applyAlignment="1">
      <alignment horizontal="left" vertical="top" wrapText="1"/>
    </xf>
    <xf numFmtId="0" fontId="998" fillId="7" borderId="3" xfId="0" applyFont="1" applyFill="1" applyBorder="1" applyAlignment="1">
      <alignment horizontal="left" vertical="top" wrapText="1"/>
    </xf>
    <xf numFmtId="0" fontId="972" fillId="7" borderId="3" xfId="0" applyFont="1" applyFill="1" applyBorder="1" applyAlignment="1">
      <alignment horizontal="left" vertical="top" wrapText="1"/>
    </xf>
    <xf numFmtId="0" fontId="999" fillId="7" borderId="3" xfId="0" applyFont="1" applyFill="1" applyBorder="1" applyAlignment="1">
      <alignment horizontal="left" vertical="top" wrapText="1"/>
    </xf>
    <xf numFmtId="0" fontId="973" fillId="7" borderId="3" xfId="0" applyFont="1" applyFill="1" applyBorder="1" applyAlignment="1">
      <alignment horizontal="left" vertical="top" wrapText="1"/>
    </xf>
    <xf numFmtId="0" fontId="1000" fillId="7" borderId="3" xfId="0" applyFont="1" applyFill="1" applyBorder="1" applyAlignment="1">
      <alignment horizontal="left" vertical="top" wrapText="1"/>
    </xf>
    <xf numFmtId="0" fontId="974" fillId="7" borderId="3" xfId="0" applyFont="1" applyFill="1" applyBorder="1" applyAlignment="1">
      <alignment horizontal="left" vertical="top" wrapText="1"/>
    </xf>
    <xf numFmtId="0" fontId="1001" fillId="7" borderId="3" xfId="0" applyFont="1" applyFill="1" applyBorder="1" applyAlignment="1">
      <alignment horizontal="left" vertical="top" wrapText="1"/>
    </xf>
    <xf numFmtId="0" fontId="975" fillId="7" borderId="3" xfId="0" applyFont="1" applyFill="1" applyBorder="1" applyAlignment="1">
      <alignment horizontal="left" vertical="top" wrapText="1"/>
    </xf>
    <xf numFmtId="0" fontId="1002" fillId="7" borderId="3" xfId="0" applyFont="1" applyFill="1" applyBorder="1" applyAlignment="1">
      <alignment horizontal="left" vertical="top" wrapText="1"/>
    </xf>
    <xf numFmtId="0" fontId="976" fillId="7" borderId="3" xfId="0" applyFont="1" applyFill="1" applyBorder="1" applyAlignment="1">
      <alignment horizontal="left" vertical="top" wrapText="1"/>
    </xf>
    <xf numFmtId="0" fontId="1853" fillId="7" borderId="3" xfId="0" applyFont="1" applyFill="1" applyBorder="1" applyAlignment="1">
      <alignment horizontal="left" vertical="top" wrapText="1"/>
    </xf>
    <xf numFmtId="0" fontId="2038" fillId="7" borderId="3" xfId="0" applyFont="1" applyFill="1" applyBorder="1" applyAlignment="1">
      <alignment horizontal="left" vertical="top" wrapText="1"/>
    </xf>
    <xf numFmtId="0" fontId="1851" fillId="7" borderId="3" xfId="0" applyFont="1" applyFill="1" applyBorder="1" applyAlignment="1">
      <alignment horizontal="left" vertical="top" wrapText="1"/>
    </xf>
    <xf numFmtId="0" fontId="2036" fillId="7" borderId="3" xfId="0" applyFont="1" applyFill="1" applyBorder="1" applyAlignment="1">
      <alignment horizontal="left" vertical="top" wrapText="1"/>
    </xf>
    <xf numFmtId="0" fontId="1847" fillId="7" borderId="3" xfId="0" applyFont="1" applyFill="1" applyBorder="1" applyAlignment="1">
      <alignment horizontal="left" vertical="top" wrapText="1"/>
    </xf>
    <xf numFmtId="0" fontId="2032" fillId="7" borderId="3" xfId="0" applyFont="1" applyFill="1" applyBorder="1" applyAlignment="1">
      <alignment horizontal="left" vertical="top" wrapText="1"/>
    </xf>
    <xf numFmtId="0" fontId="1848" fillId="7" borderId="3" xfId="0" applyFont="1" applyFill="1" applyBorder="1" applyAlignment="1">
      <alignment horizontal="left" vertical="top" wrapText="1"/>
    </xf>
    <xf numFmtId="0" fontId="2033" fillId="7" borderId="3" xfId="0" applyFont="1" applyFill="1" applyBorder="1" applyAlignment="1">
      <alignment horizontal="left" vertical="top" wrapText="1"/>
    </xf>
    <xf numFmtId="0" fontId="1849" fillId="7" borderId="3" xfId="0" applyFont="1" applyFill="1" applyBorder="1" applyAlignment="1">
      <alignment horizontal="left" vertical="top" wrapText="1"/>
    </xf>
    <xf numFmtId="0" fontId="2034" fillId="7" borderId="3" xfId="0" applyFont="1" applyFill="1" applyBorder="1" applyAlignment="1">
      <alignment horizontal="left" vertical="top" wrapText="1"/>
    </xf>
    <xf numFmtId="0" fontId="1850" fillId="7" borderId="3" xfId="0" applyFont="1" applyFill="1" applyBorder="1" applyAlignment="1">
      <alignment horizontal="left" vertical="top" wrapText="1"/>
    </xf>
    <xf numFmtId="0" fontId="2035" fillId="7" borderId="3" xfId="0" applyFont="1" applyFill="1" applyBorder="1" applyAlignment="1">
      <alignment horizontal="left" vertical="top" wrapText="1"/>
    </xf>
    <xf numFmtId="0" fontId="1852" fillId="7" borderId="3" xfId="0" applyFont="1" applyFill="1" applyBorder="1" applyAlignment="1">
      <alignment horizontal="left" vertical="top" wrapText="1"/>
    </xf>
    <xf numFmtId="0" fontId="2037" fillId="7" borderId="3" xfId="0" applyFont="1" applyFill="1" applyBorder="1" applyAlignment="1">
      <alignment horizontal="left" vertical="top" wrapText="1"/>
    </xf>
    <xf numFmtId="0" fontId="1872" fillId="7" borderId="3" xfId="0" applyFont="1" applyFill="1" applyBorder="1" applyAlignment="1">
      <alignment horizontal="left" vertical="top" wrapText="1"/>
    </xf>
    <xf numFmtId="0" fontId="2058" fillId="7" borderId="3" xfId="0" applyFont="1" applyFill="1" applyBorder="1" applyAlignment="1">
      <alignment horizontal="left" vertical="top" wrapText="1"/>
    </xf>
    <xf numFmtId="0" fontId="1854" fillId="7" borderId="3" xfId="0" applyFont="1" applyFill="1" applyBorder="1" applyAlignment="1">
      <alignment horizontal="left" vertical="top" wrapText="1"/>
    </xf>
    <xf numFmtId="0" fontId="2039" fillId="7" borderId="3" xfId="0" applyFont="1" applyFill="1" applyBorder="1" applyAlignment="1">
      <alignment horizontal="left" vertical="top" wrapText="1"/>
    </xf>
    <xf numFmtId="0" fontId="1855" fillId="7" borderId="3" xfId="0" applyFont="1" applyFill="1" applyBorder="1" applyAlignment="1">
      <alignment horizontal="left" vertical="top" wrapText="1"/>
    </xf>
    <xf numFmtId="0" fontId="2040" fillId="7" borderId="3" xfId="0" applyFont="1" applyFill="1" applyBorder="1" applyAlignment="1">
      <alignment horizontal="left" vertical="top" wrapText="1"/>
    </xf>
    <xf numFmtId="0" fontId="1856" fillId="7" borderId="3" xfId="0" applyFont="1" applyFill="1" applyBorder="1" applyAlignment="1">
      <alignment horizontal="left" vertical="top" wrapText="1"/>
    </xf>
    <xf numFmtId="0" fontId="2041" fillId="7" borderId="3" xfId="0" applyFont="1" applyFill="1" applyBorder="1" applyAlignment="1">
      <alignment horizontal="left" vertical="top" wrapText="1"/>
    </xf>
    <xf numFmtId="0" fontId="1857" fillId="7" borderId="3" xfId="0" applyFont="1" applyFill="1" applyBorder="1" applyAlignment="1">
      <alignment horizontal="left" vertical="top" wrapText="1"/>
    </xf>
    <xf numFmtId="0" fontId="2043" fillId="7" borderId="3" xfId="0" applyFont="1" applyFill="1" applyBorder="1" applyAlignment="1">
      <alignment horizontal="left" vertical="top" wrapText="1"/>
    </xf>
    <xf numFmtId="0" fontId="1859" fillId="7" borderId="3" xfId="0" applyFont="1" applyFill="1" applyBorder="1" applyAlignment="1">
      <alignment horizontal="left" vertical="top" wrapText="1"/>
    </xf>
    <xf numFmtId="0" fontId="2045" fillId="7" borderId="3" xfId="0" applyFont="1" applyFill="1" applyBorder="1" applyAlignment="1">
      <alignment horizontal="left" vertical="top" wrapText="1"/>
    </xf>
    <xf numFmtId="0" fontId="1858" fillId="7" borderId="3" xfId="0" applyFont="1" applyFill="1" applyBorder="1" applyAlignment="1">
      <alignment horizontal="left" vertical="top" wrapText="1"/>
    </xf>
    <xf numFmtId="0" fontId="2044" fillId="7" borderId="3" xfId="0" applyFont="1" applyFill="1" applyBorder="1" applyAlignment="1">
      <alignment horizontal="left" vertical="top" wrapText="1"/>
    </xf>
    <xf numFmtId="0" fontId="1860" fillId="7" borderId="3" xfId="0" applyFont="1" applyFill="1" applyBorder="1" applyAlignment="1">
      <alignment horizontal="left" vertical="top" wrapText="1"/>
    </xf>
    <xf numFmtId="0" fontId="2046" fillId="7" borderId="3" xfId="0" applyFont="1" applyFill="1" applyBorder="1" applyAlignment="1">
      <alignment horizontal="left" vertical="top" wrapText="1"/>
    </xf>
    <xf numFmtId="0" fontId="1861" fillId="7" borderId="3" xfId="0" applyFont="1" applyFill="1" applyBorder="1" applyAlignment="1">
      <alignment horizontal="left" vertical="top" wrapText="1"/>
    </xf>
    <xf numFmtId="0" fontId="2047" fillId="7" borderId="3" xfId="0" applyFont="1" applyFill="1" applyBorder="1" applyAlignment="1">
      <alignment horizontal="left" vertical="top" wrapText="1"/>
    </xf>
    <xf numFmtId="0" fontId="1862" fillId="7" borderId="3" xfId="0" applyFont="1" applyFill="1" applyBorder="1" applyAlignment="1">
      <alignment horizontal="left" vertical="top" wrapText="1"/>
    </xf>
    <xf numFmtId="0" fontId="2048" fillId="7" borderId="3" xfId="0" applyFont="1" applyFill="1" applyBorder="1" applyAlignment="1">
      <alignment horizontal="left" vertical="top" wrapText="1"/>
    </xf>
    <xf numFmtId="0" fontId="1863" fillId="7" borderId="3" xfId="0" applyFont="1" applyFill="1" applyBorder="1" applyAlignment="1">
      <alignment horizontal="left" vertical="top" wrapText="1"/>
    </xf>
    <xf numFmtId="0" fontId="2049" fillId="7" borderId="3" xfId="0" applyFont="1" applyFill="1" applyBorder="1" applyAlignment="1">
      <alignment horizontal="left" vertical="top" wrapText="1"/>
    </xf>
    <xf numFmtId="0" fontId="1864" fillId="7" borderId="3" xfId="0" applyFont="1" applyFill="1" applyBorder="1" applyAlignment="1">
      <alignment horizontal="left" vertical="top" wrapText="1"/>
    </xf>
    <xf numFmtId="0" fontId="2050" fillId="7" borderId="3" xfId="0" applyFont="1" applyFill="1" applyBorder="1" applyAlignment="1">
      <alignment horizontal="left" vertical="top" wrapText="1"/>
    </xf>
    <xf numFmtId="0" fontId="1865" fillId="7" borderId="3" xfId="0" applyFont="1" applyFill="1" applyBorder="1" applyAlignment="1">
      <alignment horizontal="left" vertical="top" wrapText="1"/>
    </xf>
    <xf numFmtId="0" fontId="2051" fillId="7" borderId="3" xfId="0" applyFont="1" applyFill="1" applyBorder="1" applyAlignment="1">
      <alignment horizontal="left" vertical="top" wrapText="1"/>
    </xf>
    <xf numFmtId="0" fontId="1866" fillId="7" borderId="3" xfId="0" applyFont="1" applyFill="1" applyBorder="1" applyAlignment="1">
      <alignment horizontal="left" vertical="top" wrapText="1"/>
    </xf>
    <xf numFmtId="0" fontId="2052" fillId="7" borderId="3" xfId="0" applyFont="1" applyFill="1" applyBorder="1" applyAlignment="1">
      <alignment horizontal="left" vertical="top" wrapText="1"/>
    </xf>
    <xf numFmtId="0" fontId="1845" fillId="7" borderId="3" xfId="0" applyFont="1" applyFill="1" applyBorder="1" applyAlignment="1">
      <alignment horizontal="left" vertical="top" wrapText="1"/>
    </xf>
    <xf numFmtId="0" fontId="2030" fillId="7" borderId="3" xfId="0" applyFont="1" applyFill="1" applyBorder="1" applyAlignment="1">
      <alignment horizontal="left" vertical="top" wrapText="1"/>
    </xf>
    <xf numFmtId="0" fontId="1867" fillId="7" borderId="3" xfId="0" applyFont="1" applyFill="1" applyBorder="1" applyAlignment="1">
      <alignment horizontal="left" vertical="top" wrapText="1"/>
    </xf>
    <xf numFmtId="0" fontId="2053" fillId="7" borderId="3" xfId="0" applyFont="1" applyFill="1" applyBorder="1" applyAlignment="1">
      <alignment horizontal="left" vertical="top" wrapText="1"/>
    </xf>
    <xf numFmtId="0" fontId="1868" fillId="7" borderId="3" xfId="0" applyFont="1" applyFill="1" applyBorder="1" applyAlignment="1">
      <alignment horizontal="left" vertical="top" wrapText="1"/>
    </xf>
    <xf numFmtId="0" fontId="2054" fillId="7" borderId="3" xfId="0" applyFont="1" applyFill="1" applyBorder="1" applyAlignment="1">
      <alignment horizontal="left" vertical="top" wrapText="1"/>
    </xf>
    <xf numFmtId="0" fontId="1999" fillId="7" borderId="3" xfId="0" applyFont="1" applyFill="1" applyBorder="1" applyAlignment="1">
      <alignment horizontal="left" vertical="top" wrapText="1"/>
    </xf>
    <xf numFmtId="0" fontId="1937" fillId="7" borderId="3" xfId="0" applyFont="1" applyFill="1" applyBorder="1" applyAlignment="1">
      <alignment horizontal="left" vertical="top" wrapText="1"/>
    </xf>
    <xf numFmtId="0" fontId="2000" fillId="7" borderId="3" xfId="0" applyFont="1" applyFill="1" applyBorder="1" applyAlignment="1">
      <alignment horizontal="left" vertical="top" wrapText="1"/>
    </xf>
    <xf numFmtId="0" fontId="1941" fillId="7" borderId="3" xfId="0" applyFont="1" applyFill="1" applyBorder="1" applyAlignment="1">
      <alignment horizontal="left" vertical="top" wrapText="1"/>
    </xf>
    <xf numFmtId="0" fontId="1869" fillId="7" borderId="3" xfId="0" applyFont="1" applyFill="1" applyBorder="1" applyAlignment="1">
      <alignment horizontal="left" vertical="top" wrapText="1"/>
    </xf>
    <xf numFmtId="0" fontId="2055" fillId="7" borderId="3" xfId="0" applyFont="1" applyFill="1" applyBorder="1" applyAlignment="1">
      <alignment horizontal="left" vertical="top" wrapText="1"/>
    </xf>
    <xf numFmtId="0" fontId="1846" fillId="7" borderId="3" xfId="0" applyFont="1" applyFill="1" applyBorder="1" applyAlignment="1">
      <alignment horizontal="left" vertical="top" wrapText="1"/>
    </xf>
    <xf numFmtId="0" fontId="2031" fillId="7" borderId="3" xfId="0" applyFont="1" applyFill="1" applyBorder="1" applyAlignment="1">
      <alignment horizontal="left" vertical="top" wrapText="1"/>
    </xf>
    <xf numFmtId="0" fontId="1870" fillId="7" borderId="3" xfId="0" applyFont="1" applyFill="1" applyBorder="1" applyAlignment="1">
      <alignment horizontal="left" vertical="top" wrapText="1"/>
    </xf>
    <xf numFmtId="0" fontId="2056" fillId="7" borderId="3" xfId="0" applyFont="1" applyFill="1" applyBorder="1" applyAlignment="1">
      <alignment horizontal="left" vertical="top" wrapText="1"/>
    </xf>
    <xf numFmtId="0" fontId="1871" fillId="7" borderId="3" xfId="0" applyFont="1" applyFill="1" applyBorder="1" applyAlignment="1">
      <alignment horizontal="left" vertical="top" wrapText="1"/>
    </xf>
    <xf numFmtId="0" fontId="2057" fillId="7" borderId="3" xfId="0" applyFont="1" applyFill="1" applyBorder="1" applyAlignment="1">
      <alignment horizontal="left" vertical="top" wrapText="1"/>
    </xf>
    <xf numFmtId="0" fontId="2002" fillId="7" borderId="3" xfId="0" applyFont="1" applyFill="1" applyBorder="1" applyAlignment="1">
      <alignment horizontal="left" vertical="top" wrapText="1"/>
    </xf>
    <xf numFmtId="0" fontId="1939" fillId="7" borderId="3" xfId="0" applyFont="1" applyFill="1" applyBorder="1" applyAlignment="1">
      <alignment horizontal="left" vertical="top" wrapText="1"/>
    </xf>
    <xf numFmtId="0" fontId="2003" fillId="7" borderId="3" xfId="0" applyFont="1" applyFill="1" applyBorder="1" applyAlignment="1">
      <alignment horizontal="left" vertical="top" wrapText="1"/>
    </xf>
    <xf numFmtId="0" fontId="1940" fillId="7" borderId="3" xfId="0" applyFont="1" applyFill="1" applyBorder="1" applyAlignment="1">
      <alignment horizontal="left" vertical="top" wrapText="1"/>
    </xf>
    <xf numFmtId="0" fontId="2001" fillId="7" borderId="3" xfId="0" applyFont="1" applyFill="1" applyBorder="1" applyAlignment="1">
      <alignment horizontal="left" vertical="top" wrapText="1"/>
    </xf>
    <xf numFmtId="0" fontId="1938" fillId="7" borderId="3" xfId="0" applyFont="1" applyFill="1" applyBorder="1" applyAlignment="1">
      <alignment horizontal="left" vertical="top" wrapText="1"/>
    </xf>
    <xf numFmtId="0" fontId="2004" fillId="7" borderId="3" xfId="0" applyFont="1" applyFill="1" applyBorder="1" applyAlignment="1">
      <alignment horizontal="left" vertical="top" wrapText="1"/>
    </xf>
    <xf numFmtId="0" fontId="1942" fillId="7" borderId="3" xfId="0" applyFont="1" applyFill="1" applyBorder="1" applyAlignment="1">
      <alignment horizontal="left" vertical="top" wrapText="1"/>
    </xf>
    <xf numFmtId="0" fontId="2005" fillId="7" borderId="3" xfId="0" applyFont="1" applyFill="1" applyBorder="1" applyAlignment="1">
      <alignment horizontal="left" vertical="top" wrapText="1"/>
    </xf>
    <xf numFmtId="0" fontId="1943" fillId="7" borderId="3" xfId="0" applyFont="1" applyFill="1" applyBorder="1" applyAlignment="1">
      <alignment horizontal="left" vertical="top" wrapText="1"/>
    </xf>
    <xf numFmtId="0" fontId="1806" fillId="7" borderId="3" xfId="0" applyFont="1" applyFill="1" applyBorder="1" applyAlignment="1">
      <alignment horizontal="left" vertical="top" wrapText="1"/>
    </xf>
    <xf numFmtId="0" fontId="1944" fillId="7" borderId="3" xfId="0" applyFont="1" applyFill="1" applyBorder="1" applyAlignment="1">
      <alignment horizontal="left" vertical="top" wrapText="1"/>
    </xf>
    <xf numFmtId="0" fontId="1807" fillId="7" borderId="3" xfId="0" applyFont="1" applyFill="1" applyBorder="1" applyAlignment="1">
      <alignment horizontal="left" vertical="top" wrapText="1"/>
    </xf>
    <xf numFmtId="0" fontId="1945" fillId="7" borderId="3" xfId="0" applyFont="1" applyFill="1" applyBorder="1" applyAlignment="1">
      <alignment horizontal="left" vertical="top" wrapText="1"/>
    </xf>
    <xf numFmtId="0" fontId="1809" fillId="7" borderId="3" xfId="0" applyFont="1" applyFill="1" applyBorder="1" applyAlignment="1">
      <alignment horizontal="left" vertical="top" wrapText="1"/>
    </xf>
    <xf numFmtId="0" fontId="1946" fillId="7" borderId="3" xfId="0" applyFont="1" applyFill="1" applyBorder="1" applyAlignment="1">
      <alignment horizontal="left" vertical="top" wrapText="1"/>
    </xf>
    <xf numFmtId="0" fontId="1810" fillId="7" borderId="3" xfId="0" applyFont="1" applyFill="1" applyBorder="1" applyAlignment="1">
      <alignment horizontal="left" vertical="top" wrapText="1"/>
    </xf>
    <xf numFmtId="0" fontId="1947" fillId="7" borderId="3" xfId="0" applyFont="1" applyFill="1" applyBorder="1" applyAlignment="1">
      <alignment horizontal="left" vertical="top" wrapText="1"/>
    </xf>
    <xf numFmtId="0" fontId="1811" fillId="7" borderId="3" xfId="0" applyFont="1" applyFill="1" applyBorder="1" applyAlignment="1">
      <alignment horizontal="left" vertical="top" wrapText="1"/>
    </xf>
    <xf numFmtId="0" fontId="1948" fillId="7" borderId="3" xfId="0" applyFont="1" applyFill="1" applyBorder="1" applyAlignment="1">
      <alignment horizontal="left" vertical="top" wrapText="1"/>
    </xf>
    <xf numFmtId="0" fontId="1812" fillId="7" borderId="3" xfId="0" applyFont="1" applyFill="1" applyBorder="1" applyAlignment="1">
      <alignment horizontal="left" vertical="top" wrapText="1"/>
    </xf>
    <xf numFmtId="0" fontId="1949" fillId="7" borderId="3" xfId="0" applyFont="1" applyFill="1" applyBorder="1" applyAlignment="1">
      <alignment horizontal="left" vertical="top" wrapText="1"/>
    </xf>
    <xf numFmtId="0" fontId="1813" fillId="7" borderId="3" xfId="0" applyFont="1" applyFill="1" applyBorder="1" applyAlignment="1">
      <alignment horizontal="left" vertical="top" wrapText="1"/>
    </xf>
    <xf numFmtId="0" fontId="1950" fillId="7" borderId="3" xfId="0" applyFont="1" applyFill="1" applyBorder="1" applyAlignment="1">
      <alignment horizontal="left" vertical="top" wrapText="1"/>
    </xf>
    <xf numFmtId="0" fontId="1814" fillId="7" borderId="3" xfId="0" applyFont="1" applyFill="1" applyBorder="1" applyAlignment="1">
      <alignment horizontal="left" vertical="top" wrapText="1"/>
    </xf>
    <xf numFmtId="0" fontId="1951" fillId="7" borderId="3" xfId="0" applyFont="1" applyFill="1" applyBorder="1" applyAlignment="1">
      <alignment horizontal="left" vertical="top" wrapText="1"/>
    </xf>
    <xf numFmtId="0" fontId="1815" fillId="7" borderId="3" xfId="0" applyFont="1" applyFill="1" applyBorder="1" applyAlignment="1">
      <alignment horizontal="left" vertical="top" wrapText="1"/>
    </xf>
    <xf numFmtId="0" fontId="1952" fillId="7" borderId="3" xfId="0" applyFont="1" applyFill="1" applyBorder="1" applyAlignment="1">
      <alignment horizontal="left" vertical="top" wrapText="1"/>
    </xf>
    <xf numFmtId="0" fontId="1816" fillId="7" borderId="3" xfId="0" applyFont="1" applyFill="1" applyBorder="1" applyAlignment="1">
      <alignment horizontal="left" vertical="top" wrapText="1"/>
    </xf>
    <xf numFmtId="0" fontId="1748" fillId="7" borderId="3" xfId="0" applyFont="1" applyFill="1" applyBorder="1" applyAlignment="1">
      <alignment horizontal="left" vertical="top" wrapText="1"/>
    </xf>
    <xf numFmtId="0" fontId="1817" fillId="7" borderId="3" xfId="0" applyFont="1" applyFill="1" applyBorder="1" applyAlignment="1">
      <alignment horizontal="left" vertical="top" wrapText="1"/>
    </xf>
    <xf numFmtId="0" fontId="1749" fillId="7" borderId="3" xfId="0" applyFont="1" applyFill="1" applyBorder="1" applyAlignment="1">
      <alignment horizontal="left" vertical="top" wrapText="1"/>
    </xf>
    <xf numFmtId="0" fontId="1818" fillId="7" borderId="3" xfId="0" applyFont="1" applyFill="1" applyBorder="1" applyAlignment="1">
      <alignment horizontal="left" vertical="top" wrapText="1"/>
    </xf>
    <xf numFmtId="0" fontId="1750" fillId="7" borderId="3" xfId="0" applyFont="1" applyFill="1" applyBorder="1" applyAlignment="1">
      <alignment horizontal="left" vertical="top" wrapText="1"/>
    </xf>
    <xf numFmtId="0" fontId="1819" fillId="7" borderId="3" xfId="0" applyFont="1" applyFill="1" applyBorder="1" applyAlignment="1">
      <alignment horizontal="left" vertical="top" wrapText="1"/>
    </xf>
    <xf numFmtId="0" fontId="1751" fillId="7" borderId="3" xfId="0" applyFont="1" applyFill="1" applyBorder="1" applyAlignment="1">
      <alignment horizontal="left" vertical="top" wrapText="1"/>
    </xf>
    <xf numFmtId="0" fontId="1820" fillId="7" borderId="3" xfId="0" applyFont="1" applyFill="1" applyBorder="1" applyAlignment="1">
      <alignment horizontal="left" vertical="top" wrapText="1"/>
    </xf>
    <xf numFmtId="0" fontId="1752" fillId="7" borderId="3" xfId="0" applyFont="1" applyFill="1" applyBorder="1" applyAlignment="1">
      <alignment horizontal="left" vertical="top" wrapText="1"/>
    </xf>
    <xf numFmtId="0" fontId="1821" fillId="7" borderId="3" xfId="0" applyFont="1" applyFill="1" applyBorder="1" applyAlignment="1">
      <alignment horizontal="left" vertical="top" wrapText="1"/>
    </xf>
    <xf numFmtId="0" fontId="2006" fillId="7" borderId="3" xfId="0" applyFont="1" applyFill="1" applyBorder="1" applyAlignment="1">
      <alignment horizontal="left" vertical="top" wrapText="1"/>
    </xf>
    <xf numFmtId="0" fontId="1822" fillId="7" borderId="3" xfId="0" applyFont="1" applyFill="1" applyBorder="1" applyAlignment="1">
      <alignment horizontal="left" vertical="top" wrapText="1"/>
    </xf>
    <xf numFmtId="0" fontId="2007" fillId="7" borderId="3" xfId="0" applyFont="1" applyFill="1" applyBorder="1" applyAlignment="1">
      <alignment horizontal="left" vertical="top" wrapText="1"/>
    </xf>
    <xf numFmtId="0" fontId="1823" fillId="7" borderId="3" xfId="0" applyFont="1" applyFill="1" applyBorder="1" applyAlignment="1">
      <alignment horizontal="left" vertical="top" wrapText="1"/>
    </xf>
    <xf numFmtId="0" fontId="2008" fillId="7" borderId="3" xfId="0" applyFont="1" applyFill="1" applyBorder="1" applyAlignment="1">
      <alignment horizontal="left" vertical="top" wrapText="1"/>
    </xf>
    <xf numFmtId="0" fontId="1824" fillId="7" borderId="3" xfId="0" applyFont="1" applyFill="1" applyBorder="1" applyAlignment="1">
      <alignment horizontal="left" vertical="top" wrapText="1"/>
    </xf>
    <xf numFmtId="0" fontId="2009" fillId="7" borderId="3" xfId="0" applyFont="1" applyFill="1" applyBorder="1" applyAlignment="1">
      <alignment horizontal="left" vertical="top" wrapText="1"/>
    </xf>
    <xf numFmtId="0" fontId="1825" fillId="7" borderId="3" xfId="0" applyFont="1" applyFill="1" applyBorder="1" applyAlignment="1">
      <alignment horizontal="left" vertical="top" wrapText="1"/>
    </xf>
    <xf numFmtId="0" fontId="2010" fillId="7" borderId="3" xfId="0" applyFont="1" applyFill="1" applyBorder="1" applyAlignment="1">
      <alignment horizontal="left" vertical="top" wrapText="1"/>
    </xf>
    <xf numFmtId="0" fontId="1826" fillId="7" borderId="3" xfId="0" applyFont="1" applyFill="1" applyBorder="1" applyAlignment="1">
      <alignment horizontal="left" vertical="top" wrapText="1"/>
    </xf>
    <xf numFmtId="0" fontId="2011" fillId="7" borderId="3" xfId="0" applyFont="1" applyFill="1" applyBorder="1" applyAlignment="1">
      <alignment horizontal="left" vertical="top" wrapText="1"/>
    </xf>
    <xf numFmtId="0" fontId="1827" fillId="7" borderId="3" xfId="0" applyFont="1" applyFill="1" applyBorder="1" applyAlignment="1">
      <alignment horizontal="left" vertical="top" wrapText="1"/>
    </xf>
    <xf numFmtId="0" fontId="2012" fillId="7" borderId="3" xfId="0" applyFont="1" applyFill="1" applyBorder="1" applyAlignment="1">
      <alignment horizontal="left" vertical="top" wrapText="1"/>
    </xf>
    <xf numFmtId="0" fontId="1828" fillId="7" borderId="3" xfId="0" applyFont="1" applyFill="1" applyBorder="1" applyAlignment="1">
      <alignment horizontal="left" vertical="top" wrapText="1"/>
    </xf>
    <xf numFmtId="0" fontId="2013" fillId="7" borderId="3" xfId="0" applyFont="1" applyFill="1" applyBorder="1" applyAlignment="1">
      <alignment horizontal="left" vertical="top" wrapText="1"/>
    </xf>
    <xf numFmtId="0" fontId="1829" fillId="7" borderId="3" xfId="0" applyFont="1" applyFill="1" applyBorder="1" applyAlignment="1">
      <alignment horizontal="left" vertical="top" wrapText="1"/>
    </xf>
    <xf numFmtId="0" fontId="2014" fillId="7" borderId="3" xfId="0" applyFont="1" applyFill="1" applyBorder="1" applyAlignment="1">
      <alignment horizontal="left" vertical="top" wrapText="1"/>
    </xf>
    <xf numFmtId="0" fontId="1830" fillId="7" borderId="3" xfId="0" applyFont="1" applyFill="1" applyBorder="1" applyAlignment="1">
      <alignment horizontal="left" vertical="top" wrapText="1"/>
    </xf>
    <xf numFmtId="0" fontId="2015" fillId="7" borderId="3" xfId="0" applyFont="1" applyFill="1" applyBorder="1" applyAlignment="1">
      <alignment horizontal="left" vertical="top" wrapText="1"/>
    </xf>
    <xf numFmtId="0" fontId="1831" fillId="7" borderId="3" xfId="0" applyFont="1" applyFill="1" applyBorder="1" applyAlignment="1">
      <alignment horizontal="left" vertical="top" wrapText="1"/>
    </xf>
    <xf numFmtId="0" fontId="2016" fillId="7" borderId="3" xfId="0" applyFont="1" applyFill="1" applyBorder="1" applyAlignment="1">
      <alignment horizontal="left" vertical="top" wrapText="1"/>
    </xf>
    <xf numFmtId="0" fontId="1832" fillId="7" borderId="3" xfId="0" applyFont="1" applyFill="1" applyBorder="1" applyAlignment="1">
      <alignment horizontal="left" vertical="top" wrapText="1"/>
    </xf>
    <xf numFmtId="0" fontId="2017" fillId="7" borderId="3" xfId="0" applyFont="1" applyFill="1" applyBorder="1" applyAlignment="1">
      <alignment horizontal="left" vertical="top" wrapText="1"/>
    </xf>
    <xf numFmtId="0" fontId="1833" fillId="7" borderId="3" xfId="0" applyFont="1" applyFill="1" applyBorder="1" applyAlignment="1">
      <alignment horizontal="left" vertical="top" wrapText="1"/>
    </xf>
    <xf numFmtId="0" fontId="2018" fillId="7" borderId="3" xfId="0" applyFont="1" applyFill="1" applyBorder="1" applyAlignment="1">
      <alignment horizontal="left" vertical="top" wrapText="1"/>
    </xf>
    <xf numFmtId="0" fontId="1834" fillId="7" borderId="3" xfId="0" applyFont="1" applyFill="1" applyBorder="1" applyAlignment="1">
      <alignment horizontal="left" vertical="top" wrapText="1"/>
    </xf>
    <xf numFmtId="0" fontId="2019" fillId="7" borderId="3" xfId="0" applyFont="1" applyFill="1" applyBorder="1" applyAlignment="1">
      <alignment horizontal="left" vertical="top" wrapText="1"/>
    </xf>
    <xf numFmtId="0" fontId="1835" fillId="7" borderId="3" xfId="0" applyFont="1" applyFill="1" applyBorder="1" applyAlignment="1">
      <alignment horizontal="left" vertical="top" wrapText="1"/>
    </xf>
    <xf numFmtId="0" fontId="2020" fillId="7" borderId="3" xfId="0" applyFont="1" applyFill="1" applyBorder="1" applyAlignment="1">
      <alignment horizontal="left" vertical="top" wrapText="1"/>
    </xf>
    <xf numFmtId="0" fontId="1836" fillId="7" borderId="3" xfId="0" applyFont="1" applyFill="1" applyBorder="1" applyAlignment="1">
      <alignment horizontal="left" vertical="top" wrapText="1"/>
    </xf>
    <xf numFmtId="0" fontId="2021" fillId="7" borderId="3" xfId="0" applyFont="1" applyFill="1" applyBorder="1" applyAlignment="1">
      <alignment horizontal="left" vertical="top" wrapText="1"/>
    </xf>
    <xf numFmtId="0" fontId="1837" fillId="7" borderId="3" xfId="0" applyFont="1" applyFill="1" applyBorder="1" applyAlignment="1">
      <alignment horizontal="left" vertical="top" wrapText="1"/>
    </xf>
    <xf numFmtId="0" fontId="2022" fillId="7" borderId="3" xfId="0" applyFont="1" applyFill="1" applyBorder="1" applyAlignment="1">
      <alignment horizontal="left" vertical="top" wrapText="1"/>
    </xf>
    <xf numFmtId="0" fontId="1838" fillId="7" borderId="3" xfId="0" applyFont="1" applyFill="1" applyBorder="1" applyAlignment="1">
      <alignment horizontal="left" vertical="top" wrapText="1"/>
    </xf>
    <xf numFmtId="0" fontId="2023" fillId="7" borderId="3" xfId="0" applyFont="1" applyFill="1" applyBorder="1" applyAlignment="1">
      <alignment horizontal="left" vertical="top" wrapText="1"/>
    </xf>
    <xf numFmtId="0" fontId="1839" fillId="7" borderId="3" xfId="0" applyFont="1" applyFill="1" applyBorder="1" applyAlignment="1">
      <alignment horizontal="left" vertical="top" wrapText="1"/>
    </xf>
    <xf numFmtId="0" fontId="2024" fillId="7" borderId="3" xfId="0" applyFont="1" applyFill="1" applyBorder="1" applyAlignment="1">
      <alignment horizontal="left" vertical="top" wrapText="1"/>
    </xf>
    <xf numFmtId="0" fontId="1840" fillId="7" borderId="3" xfId="0" applyFont="1" applyFill="1" applyBorder="1" applyAlignment="1">
      <alignment horizontal="left" vertical="top" wrapText="1"/>
    </xf>
    <xf numFmtId="0" fontId="2025" fillId="7" borderId="3" xfId="0" applyFont="1" applyFill="1" applyBorder="1" applyAlignment="1">
      <alignment horizontal="left" vertical="top" wrapText="1"/>
    </xf>
    <xf numFmtId="0" fontId="1841" fillId="7" borderId="3" xfId="0" applyFont="1" applyFill="1" applyBorder="1" applyAlignment="1">
      <alignment horizontal="left" vertical="top" wrapText="1"/>
    </xf>
    <xf numFmtId="0" fontId="2026" fillId="7" borderId="3" xfId="0" applyFont="1" applyFill="1" applyBorder="1" applyAlignment="1">
      <alignment horizontal="left" vertical="top" wrapText="1"/>
    </xf>
    <xf numFmtId="0" fontId="1843" fillId="7" borderId="3" xfId="0" applyFont="1" applyFill="1" applyBorder="1" applyAlignment="1">
      <alignment horizontal="left" vertical="top" wrapText="1"/>
    </xf>
    <xf numFmtId="0" fontId="2028" fillId="7" borderId="3" xfId="0" applyFont="1" applyFill="1" applyBorder="1" applyAlignment="1">
      <alignment horizontal="left" vertical="top" wrapText="1"/>
    </xf>
    <xf numFmtId="0" fontId="1844" fillId="7" borderId="3" xfId="0" applyFont="1" applyFill="1" applyBorder="1" applyAlignment="1">
      <alignment horizontal="left" vertical="top" wrapText="1"/>
    </xf>
    <xf numFmtId="0" fontId="2029" fillId="7" borderId="3" xfId="0" applyFont="1" applyFill="1" applyBorder="1" applyAlignment="1">
      <alignment horizontal="left" vertical="top" wrapText="1"/>
    </xf>
    <xf numFmtId="0" fontId="1842" fillId="7" borderId="3" xfId="0" applyFont="1" applyFill="1" applyBorder="1" applyAlignment="1">
      <alignment horizontal="left" vertical="top" wrapText="1"/>
    </xf>
    <xf numFmtId="0" fontId="2027" fillId="7" borderId="3" xfId="0" applyFont="1" applyFill="1" applyBorder="1" applyAlignment="1">
      <alignment horizontal="left" vertical="top" wrapText="1"/>
    </xf>
    <xf numFmtId="0" fontId="1873" fillId="7" borderId="3" xfId="0" applyFont="1" applyFill="1" applyBorder="1" applyAlignment="1">
      <alignment horizontal="left" vertical="top" wrapText="1"/>
    </xf>
    <xf numFmtId="0" fontId="2059" fillId="7" borderId="3" xfId="0" applyFont="1" applyFill="1" applyBorder="1" applyAlignment="1">
      <alignment horizontal="left" vertical="top" wrapText="1"/>
    </xf>
    <xf numFmtId="0" fontId="1874" fillId="7" borderId="3" xfId="0" applyFont="1" applyFill="1" applyBorder="1" applyAlignment="1">
      <alignment horizontal="left" vertical="top" wrapText="1"/>
    </xf>
    <xf numFmtId="0" fontId="2060" fillId="7" borderId="3" xfId="0" applyFont="1" applyFill="1" applyBorder="1" applyAlignment="1">
      <alignment horizontal="left" vertical="top" wrapText="1"/>
    </xf>
    <xf numFmtId="0" fontId="2192" fillId="7" borderId="3" xfId="0" applyFont="1" applyFill="1" applyBorder="1" applyAlignment="1">
      <alignment horizontal="left" vertical="top" wrapText="1"/>
    </xf>
    <xf numFmtId="0" fontId="2079" fillId="7" borderId="3" xfId="0" applyFont="1" applyFill="1" applyBorder="1" applyAlignment="1">
      <alignment horizontal="left" vertical="top" wrapText="1"/>
    </xf>
    <xf numFmtId="0" fontId="2125" fillId="7" borderId="3" xfId="0" applyFont="1" applyFill="1" applyBorder="1" applyAlignment="1">
      <alignment horizontal="left" vertical="top" wrapText="1"/>
    </xf>
    <xf numFmtId="0" fontId="2204" fillId="7" borderId="3" xfId="0" applyFont="1" applyFill="1" applyBorder="1" applyAlignment="1">
      <alignment horizontal="left" vertical="top" wrapText="1"/>
    </xf>
    <xf numFmtId="0" fontId="2111" fillId="7" borderId="3" xfId="0" applyFont="1" applyFill="1" applyBorder="1" applyAlignment="1">
      <alignment horizontal="left" vertical="top" wrapText="1"/>
    </xf>
    <xf numFmtId="0" fontId="2093" fillId="7" borderId="3" xfId="0" applyFont="1" applyFill="1" applyBorder="1" applyAlignment="1">
      <alignment horizontal="left" vertical="top" wrapText="1"/>
    </xf>
    <xf numFmtId="0" fontId="2112" fillId="7" borderId="3" xfId="0" applyFont="1" applyFill="1" applyBorder="1" applyAlignment="1">
      <alignment horizontal="left" vertical="top" wrapText="1"/>
    </xf>
    <xf numFmtId="0" fontId="2094" fillId="7" borderId="3" xfId="0" applyFont="1" applyFill="1" applyBorder="1" applyAlignment="1">
      <alignment horizontal="left" vertical="top" wrapText="1"/>
    </xf>
    <xf numFmtId="0" fontId="2120" fillId="7" borderId="3" xfId="0" applyFont="1" applyFill="1" applyBorder="1" applyAlignment="1">
      <alignment horizontal="left" vertical="top" wrapText="1"/>
    </xf>
    <xf numFmtId="0" fontId="2199" fillId="7" borderId="3" xfId="0" applyFont="1" applyFill="1" applyBorder="1" applyAlignment="1">
      <alignment horizontal="left" vertical="top" wrapText="1"/>
    </xf>
    <xf numFmtId="0" fontId="2121" fillId="7" borderId="3" xfId="0" applyFont="1" applyFill="1" applyBorder="1" applyAlignment="1">
      <alignment horizontal="left" vertical="top" wrapText="1"/>
    </xf>
    <xf numFmtId="0" fontId="2200" fillId="7" borderId="3" xfId="0" applyFont="1" applyFill="1" applyBorder="1" applyAlignment="1">
      <alignment horizontal="left" vertical="top" wrapText="1"/>
    </xf>
    <xf numFmtId="0" fontId="2122" fillId="7" borderId="3" xfId="0" applyFont="1" applyFill="1" applyBorder="1" applyAlignment="1">
      <alignment horizontal="left" vertical="top" wrapText="1"/>
    </xf>
    <xf numFmtId="0" fontId="2201" fillId="7" borderId="3" xfId="0" applyFont="1" applyFill="1" applyBorder="1" applyAlignment="1">
      <alignment horizontal="left" vertical="top" wrapText="1"/>
    </xf>
    <xf numFmtId="0" fontId="2128" fillId="7" borderId="3" xfId="0" applyFont="1" applyFill="1" applyBorder="1" applyAlignment="1">
      <alignment horizontal="left" vertical="top" wrapText="1"/>
    </xf>
    <xf numFmtId="0" fontId="2075" fillId="7" borderId="3" xfId="0" applyFont="1" applyFill="1" applyBorder="1" applyAlignment="1">
      <alignment horizontal="left" vertical="top" wrapText="1"/>
    </xf>
    <xf numFmtId="0" fontId="2123" fillId="7" borderId="3" xfId="0" applyFont="1" applyFill="1" applyBorder="1" applyAlignment="1">
      <alignment horizontal="left" vertical="top" wrapText="1"/>
    </xf>
    <xf numFmtId="0" fontId="2202" fillId="7" borderId="3" xfId="0" applyFont="1" applyFill="1" applyBorder="1" applyAlignment="1">
      <alignment horizontal="left" vertical="top" wrapText="1"/>
    </xf>
    <xf numFmtId="0" fontId="2115" fillId="7" borderId="3" xfId="0" applyFont="1" applyFill="1" applyBorder="1" applyAlignment="1">
      <alignment horizontal="left" vertical="top" wrapText="1"/>
    </xf>
    <xf numFmtId="0" fontId="2193" fillId="7" borderId="3" xfId="0" applyFont="1" applyFill="1" applyBorder="1" applyAlignment="1">
      <alignment horizontal="left" vertical="top" wrapText="1"/>
    </xf>
    <xf numFmtId="0" fontId="2129" fillId="7" borderId="3" xfId="0" applyFont="1" applyFill="1" applyBorder="1" applyAlignment="1">
      <alignment horizontal="left" vertical="top" wrapText="1"/>
    </xf>
    <xf numFmtId="0" fontId="2076" fillId="7" borderId="3" xfId="0" applyFont="1" applyFill="1" applyBorder="1" applyAlignment="1">
      <alignment horizontal="left" vertical="top" wrapText="1"/>
    </xf>
    <xf numFmtId="0" fontId="2191" fillId="7" borderId="3" xfId="0" applyFont="1" applyFill="1" applyBorder="1" applyAlignment="1">
      <alignment horizontal="left" vertical="top" wrapText="1"/>
    </xf>
    <xf numFmtId="0" fontId="2078" fillId="7" borderId="3" xfId="0" applyFont="1" applyFill="1" applyBorder="1" applyAlignment="1">
      <alignment horizontal="left" vertical="top" wrapText="1"/>
    </xf>
    <xf numFmtId="0" fontId="2117" fillId="7" borderId="3" xfId="0" applyFont="1" applyFill="1" applyBorder="1" applyAlignment="1">
      <alignment horizontal="left" vertical="top" wrapText="1"/>
    </xf>
    <xf numFmtId="0" fontId="2195" fillId="7" borderId="3" xfId="0" applyFont="1" applyFill="1" applyBorder="1" applyAlignment="1">
      <alignment horizontal="left" vertical="top" wrapText="1"/>
    </xf>
    <xf numFmtId="0" fontId="2124" fillId="7" borderId="3" xfId="0" applyFont="1" applyFill="1" applyBorder="1" applyAlignment="1">
      <alignment horizontal="left" vertical="top" wrapText="1"/>
    </xf>
    <xf numFmtId="0" fontId="2203" fillId="7" borderId="3" xfId="0" applyFont="1" applyFill="1" applyBorder="1" applyAlignment="1">
      <alignment horizontal="left" vertical="top" wrapText="1"/>
    </xf>
    <xf numFmtId="0" fontId="2113" fillId="7" borderId="3" xfId="0" applyFont="1" applyFill="1" applyBorder="1" applyAlignment="1">
      <alignment horizontal="left" vertical="top" wrapText="1"/>
    </xf>
    <xf numFmtId="0" fontId="2095" fillId="7" borderId="3" xfId="0" applyFont="1" applyFill="1" applyBorder="1" applyAlignment="1">
      <alignment horizontal="left" vertical="top" wrapText="1"/>
    </xf>
    <xf numFmtId="0" fontId="2114" fillId="7" borderId="3" xfId="0" applyFont="1" applyFill="1" applyBorder="1" applyAlignment="1">
      <alignment horizontal="left" vertical="top" wrapText="1"/>
    </xf>
    <xf numFmtId="0" fontId="2096" fillId="7" borderId="3" xfId="0" applyFont="1" applyFill="1" applyBorder="1" applyAlignment="1">
      <alignment horizontal="left" vertical="top" wrapText="1"/>
    </xf>
    <xf numFmtId="0" fontId="2108" fillId="7" borderId="3" xfId="0" applyFont="1" applyFill="1" applyBorder="1" applyAlignment="1">
      <alignment horizontal="left" vertical="top" wrapText="1"/>
    </xf>
    <xf numFmtId="0" fontId="2238" fillId="7" borderId="3" xfId="0" applyFont="1" applyFill="1" applyBorder="1" applyAlignment="1">
      <alignment horizontal="left" vertical="top" wrapText="1"/>
    </xf>
    <xf numFmtId="0" fontId="2072" fillId="7" borderId="3" xfId="0" applyFont="1" applyFill="1" applyBorder="1" applyAlignment="1">
      <alignment horizontal="left" vertical="top" wrapText="1"/>
    </xf>
    <xf numFmtId="0" fontId="2077" fillId="7" borderId="3" xfId="0" applyFont="1" applyFill="1" applyBorder="1" applyAlignment="1">
      <alignment horizontal="left" vertical="top" wrapText="1"/>
    </xf>
    <xf numFmtId="0" fontId="2118" fillId="7" borderId="3" xfId="0" applyFont="1" applyFill="1" applyBorder="1" applyAlignment="1">
      <alignment horizontal="left" vertical="top" wrapText="1"/>
    </xf>
    <xf numFmtId="0" fontId="2196" fillId="7" borderId="3" xfId="0" applyFont="1" applyFill="1" applyBorder="1" applyAlignment="1">
      <alignment horizontal="left" vertical="top" wrapText="1"/>
    </xf>
    <xf numFmtId="0" fontId="2119" fillId="7" borderId="3" xfId="0" applyFont="1" applyFill="1" applyBorder="1" applyAlignment="1">
      <alignment horizontal="left" vertical="top" wrapText="1"/>
    </xf>
    <xf numFmtId="0" fontId="2197" fillId="7" borderId="3" xfId="0" applyFont="1" applyFill="1" applyBorder="1" applyAlignment="1">
      <alignment horizontal="left" vertical="top" wrapText="1"/>
    </xf>
    <xf numFmtId="0" fontId="2109" fillId="7" borderId="3" xfId="0" applyFont="1" applyFill="1" applyBorder="1" applyAlignment="1">
      <alignment horizontal="left" vertical="top" wrapText="1"/>
    </xf>
    <xf numFmtId="0" fontId="2091" fillId="7" borderId="3" xfId="0" applyFont="1" applyFill="1" applyBorder="1" applyAlignment="1">
      <alignment horizontal="left" vertical="top" wrapText="1"/>
    </xf>
    <xf numFmtId="0" fontId="2126" fillId="7" borderId="3" xfId="0" applyFont="1" applyFill="1" applyBorder="1" applyAlignment="1">
      <alignment horizontal="left" vertical="top" wrapText="1"/>
    </xf>
    <xf numFmtId="0" fontId="2073" fillId="7" borderId="3" xfId="0" applyFont="1" applyFill="1" applyBorder="1" applyAlignment="1">
      <alignment horizontal="left" vertical="top" wrapText="1"/>
    </xf>
    <xf numFmtId="0" fontId="2080" fillId="7" borderId="3" xfId="0" applyFont="1" applyFill="1" applyBorder="1" applyAlignment="1">
      <alignment horizontal="left" vertical="top" wrapText="1"/>
    </xf>
    <xf numFmtId="0" fontId="2198" fillId="7" borderId="3" xfId="0" applyFont="1" applyFill="1" applyBorder="1" applyAlignment="1">
      <alignment horizontal="left" vertical="top" wrapText="1"/>
    </xf>
    <xf numFmtId="0" fontId="2110" fillId="7" borderId="3" xfId="0" applyFont="1" applyFill="1" applyBorder="1" applyAlignment="1">
      <alignment horizontal="left" vertical="top" wrapText="1"/>
    </xf>
    <xf numFmtId="0" fontId="2092" fillId="7" borderId="3" xfId="0" applyFont="1" applyFill="1" applyBorder="1" applyAlignment="1">
      <alignment horizontal="left" vertical="top" wrapText="1"/>
    </xf>
    <xf numFmtId="0" fontId="2107" fillId="7" borderId="3" xfId="0" applyFont="1" applyFill="1" applyBorder="1" applyAlignment="1">
      <alignment horizontal="left" vertical="top" wrapText="1"/>
    </xf>
    <xf numFmtId="0" fontId="2237" fillId="7" borderId="3" xfId="0" applyFont="1" applyFill="1" applyBorder="1" applyAlignment="1">
      <alignment horizontal="left" vertical="top" wrapText="1"/>
    </xf>
    <xf numFmtId="0" fontId="2127" fillId="7" borderId="3" xfId="0" applyFont="1" applyFill="1" applyBorder="1" applyAlignment="1">
      <alignment horizontal="left" vertical="top" wrapText="1"/>
    </xf>
    <xf numFmtId="0" fontId="2074" fillId="7" borderId="3" xfId="0" applyFont="1" applyFill="1" applyBorder="1" applyAlignment="1">
      <alignment horizontal="left" vertical="top" wrapText="1"/>
    </xf>
    <xf numFmtId="0" fontId="2116" fillId="7" borderId="3" xfId="0" applyFont="1" applyFill="1" applyBorder="1" applyAlignment="1">
      <alignment horizontal="left" vertical="top" wrapText="1"/>
    </xf>
    <xf numFmtId="0" fontId="2194" fillId="7" borderId="3" xfId="0" applyFont="1" applyFill="1" applyBorder="1" applyAlignment="1">
      <alignment horizontal="left" vertical="top" wrapText="1"/>
    </xf>
    <xf numFmtId="0" fontId="2098" fillId="7" borderId="3" xfId="0" applyFont="1" applyFill="1" applyBorder="1" applyAlignment="1">
      <alignment horizontal="left" vertical="top" wrapText="1"/>
    </xf>
    <xf numFmtId="0" fontId="2227" fillId="7" borderId="3" xfId="0" applyFont="1" applyFill="1" applyBorder="1" applyAlignment="1">
      <alignment horizontal="left" vertical="top" wrapText="1"/>
    </xf>
    <xf numFmtId="0" fontId="2099" fillId="7" borderId="3" xfId="0" applyFont="1" applyFill="1" applyBorder="1" applyAlignment="1">
      <alignment horizontal="left" vertical="top" wrapText="1"/>
    </xf>
    <xf numFmtId="0" fontId="2228" fillId="7" borderId="3" xfId="0" applyFont="1" applyFill="1" applyBorder="1" applyAlignment="1">
      <alignment horizontal="left" vertical="top" wrapText="1"/>
    </xf>
    <xf numFmtId="0" fontId="2100" fillId="7" borderId="3" xfId="0" applyFont="1" applyFill="1" applyBorder="1" applyAlignment="1">
      <alignment horizontal="left" vertical="top" wrapText="1"/>
    </xf>
    <xf numFmtId="0" fontId="2229" fillId="7" borderId="3" xfId="0" applyFont="1" applyFill="1" applyBorder="1" applyAlignment="1">
      <alignment horizontal="left" vertical="top" wrapText="1"/>
    </xf>
    <xf numFmtId="0" fontId="2097" fillId="7" borderId="3" xfId="0" applyFont="1" applyFill="1" applyBorder="1" applyAlignment="1">
      <alignment horizontal="left" vertical="top" wrapText="1"/>
    </xf>
    <xf numFmtId="0" fontId="2230" fillId="7" borderId="3" xfId="0" applyFont="1" applyFill="1" applyBorder="1" applyAlignment="1">
      <alignment horizontal="left" vertical="top" wrapText="1"/>
    </xf>
    <xf numFmtId="0" fontId="2101" fillId="7" borderId="3" xfId="0" applyFont="1" applyFill="1" applyBorder="1" applyAlignment="1">
      <alignment horizontal="left" vertical="top" wrapText="1"/>
    </xf>
    <xf numFmtId="0" fontId="2231" fillId="7" borderId="3" xfId="0" applyFont="1" applyFill="1" applyBorder="1" applyAlignment="1">
      <alignment horizontal="left" vertical="top" wrapText="1"/>
    </xf>
    <xf numFmtId="0" fontId="2102" fillId="7" borderId="3" xfId="0" applyFont="1" applyFill="1" applyBorder="1" applyAlignment="1">
      <alignment horizontal="left" vertical="top" wrapText="1"/>
    </xf>
    <xf numFmtId="0" fontId="2232" fillId="7" borderId="3" xfId="0" applyFont="1" applyFill="1" applyBorder="1" applyAlignment="1">
      <alignment horizontal="left" vertical="top" wrapText="1"/>
    </xf>
    <xf numFmtId="0" fontId="2103" fillId="7" borderId="3" xfId="0" applyFont="1" applyFill="1" applyBorder="1" applyAlignment="1">
      <alignment horizontal="left" vertical="top" wrapText="1"/>
    </xf>
    <xf numFmtId="0" fontId="2233" fillId="7" borderId="3" xfId="0" applyFont="1" applyFill="1" applyBorder="1" applyAlignment="1">
      <alignment horizontal="left" vertical="top" wrapText="1"/>
    </xf>
    <xf numFmtId="0" fontId="2104" fillId="7" borderId="3" xfId="0" applyFont="1" applyFill="1" applyBorder="1" applyAlignment="1">
      <alignment horizontal="left" vertical="top" wrapText="1"/>
    </xf>
    <xf numFmtId="0" fontId="2234" fillId="7" borderId="3" xfId="0" applyFont="1" applyFill="1" applyBorder="1" applyAlignment="1">
      <alignment horizontal="left" vertical="top" wrapText="1"/>
    </xf>
    <xf numFmtId="0" fontId="2105" fillId="7" borderId="3" xfId="0" applyFont="1" applyFill="1" applyBorder="1" applyAlignment="1">
      <alignment horizontal="left" vertical="top" wrapText="1"/>
    </xf>
    <xf numFmtId="0" fontId="2235" fillId="7" borderId="3" xfId="0" applyFont="1" applyFill="1" applyBorder="1" applyAlignment="1">
      <alignment horizontal="left" vertical="top" wrapText="1"/>
    </xf>
    <xf numFmtId="0" fontId="2106" fillId="7" borderId="3" xfId="0" applyFont="1" applyFill="1" applyBorder="1" applyAlignment="1">
      <alignment horizontal="left" vertical="top" wrapText="1"/>
    </xf>
    <xf numFmtId="0" fontId="2236" fillId="7" borderId="3" xfId="0" applyFont="1" applyFill="1" applyBorder="1" applyAlignment="1">
      <alignment horizontal="left" vertical="top" wrapText="1"/>
    </xf>
    <xf numFmtId="0" fontId="2400" fillId="7" borderId="3" xfId="0" applyFont="1" applyFill="1" applyBorder="1" applyAlignment="1">
      <alignment horizontal="left" vertical="top" wrapText="1"/>
    </xf>
    <xf numFmtId="0" fontId="2405" fillId="7" borderId="3" xfId="0" applyFont="1" applyFill="1" applyBorder="1" applyAlignment="1">
      <alignment horizontal="left" vertical="top" wrapText="1"/>
    </xf>
    <xf numFmtId="0" fontId="2438" fillId="7" borderId="3" xfId="0" applyFont="1" applyFill="1" applyBorder="1" applyAlignment="1">
      <alignment horizontal="left" vertical="top" wrapText="1"/>
    </xf>
    <xf numFmtId="0" fontId="2518" fillId="7" borderId="3" xfId="0" applyFont="1" applyFill="1" applyBorder="1" applyAlignment="1">
      <alignment horizontal="left" vertical="top" wrapText="1"/>
    </xf>
    <xf numFmtId="0" fontId="2495" fillId="7" borderId="3" xfId="0" applyFont="1" applyFill="1" applyBorder="1" applyAlignment="1">
      <alignment horizontal="left" vertical="top" wrapText="1"/>
    </xf>
    <xf numFmtId="0" fontId="2354" fillId="7" borderId="3" xfId="0" applyFont="1" applyFill="1" applyBorder="1" applyAlignment="1">
      <alignment horizontal="left" vertical="top" wrapText="1"/>
    </xf>
    <xf numFmtId="0" fontId="2466" fillId="7" borderId="3" xfId="0" applyFont="1" applyFill="1" applyBorder="1" applyAlignment="1">
      <alignment horizontal="left" vertical="top" wrapText="1"/>
    </xf>
    <xf numFmtId="0" fontId="2304" fillId="7" borderId="3" xfId="0" applyFont="1" applyFill="1" applyBorder="1" applyAlignment="1">
      <alignment horizontal="left" vertical="top" wrapText="1"/>
    </xf>
    <xf numFmtId="0" fontId="2401" fillId="7" borderId="3" xfId="0" applyFont="1" applyFill="1" applyBorder="1" applyAlignment="1">
      <alignment horizontal="left" vertical="top" wrapText="1"/>
    </xf>
    <xf numFmtId="0" fontId="2406" fillId="7" borderId="3" xfId="0" applyFont="1" applyFill="1" applyBorder="1" applyAlignment="1">
      <alignment horizontal="left" vertical="top" wrapText="1"/>
    </xf>
    <xf numFmtId="0" fontId="2439" fillId="7" borderId="3" xfId="0" applyFont="1" applyFill="1" applyBorder="1" applyAlignment="1">
      <alignment horizontal="left" vertical="top" wrapText="1"/>
    </xf>
    <xf numFmtId="0" fontId="2266" fillId="7" borderId="3" xfId="0" applyFont="1" applyFill="1" applyBorder="1" applyAlignment="1">
      <alignment horizontal="left" vertical="top" wrapText="1"/>
    </xf>
    <xf numFmtId="0" fontId="2496" fillId="7" borderId="3" xfId="0" applyFont="1" applyFill="1" applyBorder="1" applyAlignment="1">
      <alignment horizontal="left" vertical="top" wrapText="1"/>
    </xf>
    <xf numFmtId="0" fontId="2355" fillId="7" borderId="3" xfId="0" applyFont="1" applyFill="1" applyBorder="1" applyAlignment="1">
      <alignment horizontal="left" vertical="top" wrapText="1"/>
    </xf>
    <xf numFmtId="0" fontId="2467" fillId="7" borderId="3" xfId="0" applyFont="1" applyFill="1" applyBorder="1" applyAlignment="1">
      <alignment horizontal="left" vertical="top" wrapText="1"/>
    </xf>
    <xf numFmtId="0" fontId="2305" fillId="7" borderId="3" xfId="0" applyFont="1" applyFill="1" applyBorder="1" applyAlignment="1">
      <alignment horizontal="left" vertical="top" wrapText="1"/>
    </xf>
    <xf numFmtId="0" fontId="2271" fillId="7" borderId="3" xfId="0" applyFont="1" applyFill="1" applyBorder="1" applyAlignment="1">
      <alignment horizontal="left" vertical="top" wrapText="1"/>
    </xf>
    <xf numFmtId="0" fontId="2411" fillId="7" borderId="3" xfId="0" applyFont="1" applyFill="1" applyBorder="1" applyAlignment="1">
      <alignment horizontal="left" vertical="top" wrapText="1"/>
    </xf>
    <xf numFmtId="0" fontId="2447" fillId="7" borderId="3" xfId="0" applyFont="1" applyFill="1" applyBorder="1" applyAlignment="1">
      <alignment horizontal="left" vertical="top" wrapText="1"/>
    </xf>
    <xf numFmtId="0" fontId="2419" fillId="7" borderId="3" xfId="0" applyFont="1" applyFill="1" applyBorder="1" applyAlignment="1">
      <alignment horizontal="left" vertical="top" wrapText="1"/>
    </xf>
    <xf numFmtId="0" fontId="2502" fillId="7" borderId="3" xfId="0" applyFont="1" applyFill="1" applyBorder="1" applyAlignment="1">
      <alignment horizontal="left" vertical="top" wrapText="1"/>
    </xf>
    <xf numFmtId="0" fontId="2359" fillId="7" borderId="3" xfId="0" applyFont="1" applyFill="1" applyBorder="1" applyAlignment="1">
      <alignment horizontal="left" vertical="top" wrapText="1"/>
    </xf>
    <xf numFmtId="0" fontId="2471" fillId="7" borderId="3" xfId="0" applyFont="1" applyFill="1" applyBorder="1" applyAlignment="1">
      <alignment horizontal="left" vertical="top" wrapText="1"/>
    </xf>
    <xf numFmtId="0" fontId="2309" fillId="7" borderId="3" xfId="0" applyFont="1" applyFill="1" applyBorder="1" applyAlignment="1">
      <alignment horizontal="left" vertical="top" wrapText="1"/>
    </xf>
    <xf numFmtId="0" fontId="2272" fillId="7" borderId="3" xfId="0" applyFont="1" applyFill="1" applyBorder="1" applyAlignment="1">
      <alignment horizontal="left" vertical="top" wrapText="1"/>
    </xf>
    <xf numFmtId="0" fontId="2412" fillId="7" borderId="3" xfId="0" applyFont="1" applyFill="1" applyBorder="1" applyAlignment="1">
      <alignment horizontal="left" vertical="top" wrapText="1"/>
    </xf>
    <xf numFmtId="0" fontId="2293" fillId="7" borderId="3" xfId="0" applyFont="1" applyFill="1" applyBorder="1" applyAlignment="1">
      <alignment horizontal="left" vertical="top" wrapText="1"/>
    </xf>
    <xf numFmtId="0" fontId="2420" fillId="7" borderId="3" xfId="0" applyFont="1" applyFill="1" applyBorder="1" applyAlignment="1">
      <alignment horizontal="left" vertical="top" wrapText="1"/>
    </xf>
    <xf numFmtId="0" fontId="2503" fillId="7" borderId="3" xfId="0" applyFont="1" applyFill="1" applyBorder="1" applyAlignment="1">
      <alignment horizontal="left" vertical="top" wrapText="1"/>
    </xf>
    <xf numFmtId="0" fontId="2360" fillId="7" borderId="3" xfId="0" applyFont="1" applyFill="1" applyBorder="1" applyAlignment="1">
      <alignment horizontal="left" vertical="top" wrapText="1"/>
    </xf>
    <xf numFmtId="0" fontId="2472" fillId="7" borderId="3" xfId="0" applyFont="1" applyFill="1" applyBorder="1" applyAlignment="1">
      <alignment horizontal="left" vertical="top" wrapText="1"/>
    </xf>
    <xf numFmtId="0" fontId="2310" fillId="7" borderId="3" xfId="0" applyFont="1" applyFill="1" applyBorder="1" applyAlignment="1">
      <alignment horizontal="left" vertical="top" wrapText="1"/>
    </xf>
    <xf numFmtId="0" fontId="2273" fillId="7" borderId="3" xfId="0" applyFont="1" applyFill="1" applyBorder="1" applyAlignment="1">
      <alignment horizontal="left" vertical="top" wrapText="1"/>
    </xf>
    <xf numFmtId="0" fontId="2413" fillId="7" borderId="3" xfId="0" applyFont="1" applyFill="1" applyBorder="1" applyAlignment="1">
      <alignment horizontal="left" vertical="top" wrapText="1"/>
    </xf>
    <xf numFmtId="0" fontId="2294" fillId="7" borderId="3" xfId="0" applyFont="1" applyFill="1" applyBorder="1" applyAlignment="1">
      <alignment horizontal="left" vertical="top" wrapText="1"/>
    </xf>
    <xf numFmtId="0" fontId="2421" fillId="7" borderId="3" xfId="0" applyFont="1" applyFill="1" applyBorder="1" applyAlignment="1">
      <alignment horizontal="left" vertical="top" wrapText="1"/>
    </xf>
    <xf numFmtId="0" fontId="2504" fillId="7" borderId="3" xfId="0" applyFont="1" applyFill="1" applyBorder="1" applyAlignment="1">
      <alignment horizontal="left" vertical="top" wrapText="1"/>
    </xf>
    <xf numFmtId="0" fontId="2312" fillId="7" borderId="3" xfId="0" applyFont="1" applyFill="1" applyBorder="1" applyAlignment="1">
      <alignment horizontal="left" vertical="top" wrapText="1"/>
    </xf>
    <xf numFmtId="0" fontId="2473" fillId="7" borderId="3" xfId="0" applyFont="1" applyFill="1" applyBorder="1" applyAlignment="1">
      <alignment horizontal="left" vertical="top" wrapText="1"/>
    </xf>
    <xf numFmtId="0" fontId="2311" fillId="7" borderId="3" xfId="0" applyFont="1" applyFill="1" applyBorder="1" applyAlignment="1">
      <alignment horizontal="left" vertical="top" wrapText="1"/>
    </xf>
    <xf numFmtId="0" fontId="2274" fillId="7" borderId="3" xfId="0" applyFont="1" applyFill="1" applyBorder="1" applyAlignment="1">
      <alignment horizontal="left" vertical="top" wrapText="1"/>
    </xf>
    <xf numFmtId="0" fontId="2414" fillId="7" borderId="3" xfId="0" applyFont="1" applyFill="1" applyBorder="1" applyAlignment="1">
      <alignment horizontal="left" vertical="top" wrapText="1"/>
    </xf>
    <xf numFmtId="0" fontId="2295" fillId="7" borderId="3" xfId="0" applyFont="1" applyFill="1" applyBorder="1" applyAlignment="1">
      <alignment horizontal="left" vertical="top" wrapText="1"/>
    </xf>
    <xf numFmtId="0" fontId="2422" fillId="7" borderId="3" xfId="0" applyFont="1" applyFill="1" applyBorder="1" applyAlignment="1">
      <alignment horizontal="left" vertical="top" wrapText="1"/>
    </xf>
    <xf numFmtId="0" fontId="2505" fillId="7" borderId="3" xfId="0" applyFont="1" applyFill="1" applyBorder="1" applyAlignment="1">
      <alignment horizontal="left" vertical="top" wrapText="1"/>
    </xf>
    <xf numFmtId="0" fontId="2313" fillId="7" borderId="3" xfId="0" applyFont="1" applyFill="1" applyBorder="1" applyAlignment="1">
      <alignment horizontal="left" vertical="top" wrapText="1"/>
    </xf>
    <xf numFmtId="0" fontId="2474" fillId="7" borderId="3" xfId="0" applyFont="1" applyFill="1" applyBorder="1" applyAlignment="1">
      <alignment horizontal="left" vertical="top" wrapText="1"/>
    </xf>
    <xf numFmtId="0" fontId="2448" fillId="7" borderId="3" xfId="0" applyFont="1" applyFill="1" applyBorder="1" applyAlignment="1">
      <alignment horizontal="left" vertical="top" wrapText="1"/>
    </xf>
    <xf numFmtId="0" fontId="2402" fillId="7" borderId="3" xfId="0" applyFont="1" applyFill="1" applyBorder="1" applyAlignment="1">
      <alignment horizontal="left" vertical="top" wrapText="1"/>
    </xf>
    <xf numFmtId="0" fontId="2408" fillId="7" borderId="3" xfId="0" applyFont="1" applyFill="1" applyBorder="1" applyAlignment="1">
      <alignment horizontal="left" vertical="top" wrapText="1"/>
    </xf>
    <xf numFmtId="0" fontId="2440" fillId="7" borderId="3" xfId="0" applyFont="1" applyFill="1" applyBorder="1" applyAlignment="1">
      <alignment horizontal="left" vertical="top" wrapText="1"/>
    </xf>
    <xf numFmtId="0" fontId="2287" fillId="7" borderId="3" xfId="0" applyFont="1" applyFill="1" applyBorder="1" applyAlignment="1">
      <alignment horizontal="left" vertical="top" wrapText="1"/>
    </xf>
    <xf numFmtId="0" fontId="2497" fillId="7" borderId="3" xfId="0" applyFont="1" applyFill="1" applyBorder="1" applyAlignment="1">
      <alignment horizontal="left" vertical="top" wrapText="1"/>
    </xf>
    <xf numFmtId="0" fontId="2356" fillId="7" borderId="3" xfId="0" applyFont="1" applyFill="1" applyBorder="1" applyAlignment="1">
      <alignment horizontal="left" vertical="top" wrapText="1"/>
    </xf>
    <xf numFmtId="0" fontId="2468" fillId="7" borderId="3" xfId="0" applyFont="1" applyFill="1" applyBorder="1" applyAlignment="1">
      <alignment horizontal="left" vertical="top" wrapText="1"/>
    </xf>
    <xf numFmtId="0" fontId="2306" fillId="7" borderId="3" xfId="0" applyFont="1" applyFill="1" applyBorder="1" applyAlignment="1">
      <alignment horizontal="left" vertical="top" wrapText="1"/>
    </xf>
    <xf numFmtId="0" fontId="2403" fillId="7" borderId="3" xfId="0" applyFont="1" applyFill="1" applyBorder="1" applyAlignment="1">
      <alignment horizontal="left" vertical="top" wrapText="1"/>
    </xf>
    <xf numFmtId="0" fontId="2409" fillId="7" borderId="3" xfId="0" applyFont="1" applyFill="1" applyBorder="1" applyAlignment="1">
      <alignment horizontal="left" vertical="top" wrapText="1"/>
    </xf>
    <xf numFmtId="0" fontId="2441" fillId="7" borderId="3" xfId="0" applyFont="1" applyFill="1" applyBorder="1" applyAlignment="1">
      <alignment horizontal="left" vertical="top" wrapText="1"/>
    </xf>
    <xf numFmtId="0" fontId="2288" fillId="7" borderId="3" xfId="0" applyFont="1" applyFill="1" applyBorder="1" applyAlignment="1">
      <alignment horizontal="left" vertical="top" wrapText="1"/>
    </xf>
    <xf numFmtId="0" fontId="2498" fillId="7" borderId="3" xfId="0" applyFont="1" applyFill="1" applyBorder="1" applyAlignment="1">
      <alignment horizontal="left" vertical="top" wrapText="1"/>
    </xf>
    <xf numFmtId="0" fontId="2357" fillId="7" borderId="3" xfId="0" applyFont="1" applyFill="1" applyBorder="1" applyAlignment="1">
      <alignment horizontal="left" vertical="top" wrapText="1"/>
    </xf>
    <xf numFmtId="0" fontId="2469" fillId="7" borderId="3" xfId="0" applyFont="1" applyFill="1" applyBorder="1" applyAlignment="1">
      <alignment horizontal="left" vertical="top" wrapText="1"/>
    </xf>
    <xf numFmtId="0" fontId="2307" fillId="7" borderId="3" xfId="0" applyFont="1" applyFill="1" applyBorder="1" applyAlignment="1">
      <alignment horizontal="left" vertical="top" wrapText="1"/>
    </xf>
    <xf numFmtId="0" fontId="2404" fillId="7" borderId="3" xfId="0" applyFont="1" applyFill="1" applyBorder="1" applyAlignment="1">
      <alignment horizontal="left" vertical="top" wrapText="1"/>
    </xf>
    <xf numFmtId="0" fontId="2410" fillId="7" borderId="3" xfId="0" applyFont="1" applyFill="1" applyBorder="1" applyAlignment="1">
      <alignment horizontal="left" vertical="top" wrapText="1"/>
    </xf>
    <xf numFmtId="0" fontId="2442" fillId="7" borderId="3" xfId="0" applyFont="1" applyFill="1" applyBorder="1" applyAlignment="1">
      <alignment horizontal="left" vertical="top" wrapText="1"/>
    </xf>
    <xf numFmtId="0" fontId="2297" fillId="7" borderId="3" xfId="0" applyFont="1" applyFill="1" applyBorder="1" applyAlignment="1">
      <alignment horizontal="left" vertical="top" wrapText="1"/>
    </xf>
    <xf numFmtId="0" fontId="2501" fillId="7" borderId="3" xfId="0" applyFont="1" applyFill="1" applyBorder="1" applyAlignment="1">
      <alignment horizontal="left" vertical="top" wrapText="1"/>
    </xf>
    <xf numFmtId="0" fontId="2358" fillId="7" borderId="3" xfId="0" applyFont="1" applyFill="1" applyBorder="1" applyAlignment="1">
      <alignment horizontal="left" vertical="top" wrapText="1"/>
    </xf>
    <xf numFmtId="0" fontId="2470" fillId="7" borderId="3" xfId="0" applyFont="1" applyFill="1" applyBorder="1" applyAlignment="1">
      <alignment horizontal="left" vertical="top" wrapText="1"/>
    </xf>
    <xf numFmtId="0" fontId="2308" fillId="7" borderId="3" xfId="0" applyFont="1" applyFill="1" applyBorder="1" applyAlignment="1">
      <alignment horizontal="left" vertical="top" wrapText="1"/>
    </xf>
    <xf numFmtId="0" fontId="2275" fillId="7" borderId="3" xfId="0" applyFont="1" applyFill="1" applyBorder="1" applyAlignment="1">
      <alignment horizontal="left" vertical="top" wrapText="1"/>
    </xf>
    <xf numFmtId="0" fontId="2415" fillId="7" borderId="3" xfId="0" applyFont="1" applyFill="1" applyBorder="1" applyAlignment="1">
      <alignment horizontal="left" vertical="top" wrapText="1"/>
    </xf>
    <xf numFmtId="0" fontId="2369" fillId="7" borderId="3" xfId="0" applyFont="1" applyFill="1" applyBorder="1" applyAlignment="1">
      <alignment horizontal="left" vertical="top" wrapText="1"/>
    </xf>
    <xf numFmtId="0" fontId="2423" fillId="7" borderId="3" xfId="0" applyFont="1" applyFill="1" applyBorder="1" applyAlignment="1">
      <alignment horizontal="left" vertical="top" wrapText="1"/>
    </xf>
    <xf numFmtId="0" fontId="2506" fillId="7" borderId="3" xfId="0" applyFont="1" applyFill="1" applyBorder="1" applyAlignment="1">
      <alignment horizontal="left" vertical="top" wrapText="1"/>
    </xf>
    <xf numFmtId="0" fontId="2314" fillId="7" borderId="3" xfId="0" applyFont="1" applyFill="1" applyBorder="1" applyAlignment="1">
      <alignment horizontal="left" vertical="top" wrapText="1"/>
    </xf>
    <xf numFmtId="0" fontId="2475" fillId="7" borderId="3" xfId="0" applyFont="1" applyFill="1" applyBorder="1" applyAlignment="1">
      <alignment horizontal="left" vertical="top" wrapText="1"/>
    </xf>
    <xf numFmtId="0" fontId="2514" fillId="7" borderId="3" xfId="0" applyFont="1" applyFill="1" applyBorder="1" applyAlignment="1">
      <alignment horizontal="left" vertical="top" wrapText="1"/>
    </xf>
    <xf numFmtId="0" fontId="2276" fillId="7" borderId="3" xfId="0" applyFont="1" applyFill="1" applyBorder="1" applyAlignment="1">
      <alignment horizontal="left" vertical="top" wrapText="1"/>
    </xf>
    <xf numFmtId="0" fontId="2416" fillId="7" borderId="3" xfId="0" applyFont="1" applyFill="1" applyBorder="1" applyAlignment="1">
      <alignment horizontal="left" vertical="top" wrapText="1"/>
    </xf>
    <xf numFmtId="0" fontId="2370" fillId="7" borderId="3" xfId="0" applyFont="1" applyFill="1" applyBorder="1" applyAlignment="1">
      <alignment horizontal="left" vertical="top" wrapText="1"/>
    </xf>
    <xf numFmtId="0" fontId="2424" fillId="7" borderId="3" xfId="0" applyFont="1" applyFill="1" applyBorder="1" applyAlignment="1">
      <alignment horizontal="left" vertical="top" wrapText="1"/>
    </xf>
    <xf numFmtId="0" fontId="2507" fillId="7" borderId="3" xfId="0" applyFont="1" applyFill="1" applyBorder="1" applyAlignment="1">
      <alignment horizontal="left" vertical="top" wrapText="1"/>
    </xf>
    <xf numFmtId="0" fontId="2315" fillId="7" borderId="3" xfId="0" applyFont="1" applyFill="1" applyBorder="1" applyAlignment="1">
      <alignment horizontal="left" vertical="top" wrapText="1"/>
    </xf>
    <xf numFmtId="0" fontId="2476" fillId="7" borderId="3" xfId="0" applyFont="1" applyFill="1" applyBorder="1" applyAlignment="1">
      <alignment horizontal="left" vertical="top" wrapText="1"/>
    </xf>
    <xf numFmtId="0" fontId="2515" fillId="7" borderId="3" xfId="0" applyFont="1" applyFill="1" applyBorder="1" applyAlignment="1">
      <alignment horizontal="left" vertical="top" wrapText="1"/>
    </xf>
    <xf numFmtId="0" fontId="2296" fillId="7" borderId="3" xfId="0" applyFont="1" applyFill="1" applyBorder="1" applyAlignment="1">
      <alignment horizontal="left" vertical="top" wrapText="1"/>
    </xf>
    <xf numFmtId="0" fontId="2417" fillId="7" borderId="3" xfId="0" applyFont="1" applyFill="1" applyBorder="1" applyAlignment="1">
      <alignment horizontal="left" vertical="top" wrapText="1"/>
    </xf>
    <xf numFmtId="0" fontId="2371" fillId="7" borderId="3" xfId="0" applyFont="1" applyFill="1" applyBorder="1" applyAlignment="1">
      <alignment horizontal="left" vertical="top" wrapText="1"/>
    </xf>
    <xf numFmtId="0" fontId="2425" fillId="7" borderId="3" xfId="0" applyFont="1" applyFill="1" applyBorder="1" applyAlignment="1">
      <alignment horizontal="left" vertical="top" wrapText="1"/>
    </xf>
    <xf numFmtId="0" fontId="2513" fillId="7" borderId="3" xfId="0" applyFont="1" applyFill="1" applyBorder="1" applyAlignment="1">
      <alignment horizontal="left" vertical="top" wrapText="1"/>
    </xf>
    <xf numFmtId="0" fontId="2316" fillId="7" borderId="3" xfId="0" applyFont="1" applyFill="1" applyBorder="1" applyAlignment="1">
      <alignment horizontal="left" vertical="top" wrapText="1"/>
    </xf>
    <xf numFmtId="0" fontId="2477" fillId="7" borderId="3" xfId="0" applyFont="1" applyFill="1" applyBorder="1" applyAlignment="1">
      <alignment horizontal="left" vertical="top" wrapText="1"/>
    </xf>
    <xf numFmtId="0" fontId="2516" fillId="7" borderId="3" xfId="0" applyFont="1" applyFill="1" applyBorder="1" applyAlignment="1">
      <alignment horizontal="left" vertical="top" wrapText="1"/>
    </xf>
    <xf numFmtId="0" fontId="2484" fillId="7" borderId="3" xfId="0" applyFont="1" applyFill="1" applyBorder="1" applyAlignment="1">
      <alignment horizontal="left" vertical="top" wrapText="1"/>
    </xf>
    <xf numFmtId="0" fontId="2418" fillId="7" borderId="3" xfId="0" applyFont="1" applyFill="1" applyBorder="1" applyAlignment="1">
      <alignment horizontal="left" vertical="top" wrapText="1"/>
    </xf>
    <xf numFmtId="0" fontId="2372" fillId="7" borderId="3" xfId="0" applyFont="1" applyFill="1" applyBorder="1" applyAlignment="1">
      <alignment horizontal="left" vertical="top" wrapText="1"/>
    </xf>
    <xf numFmtId="0" fontId="2426" fillId="7" borderId="3" xfId="0" applyFont="1" applyFill="1" applyBorder="1" applyAlignment="1">
      <alignment horizontal="left" vertical="top" wrapText="1"/>
    </xf>
    <xf numFmtId="0" fontId="2343" fillId="7" borderId="3" xfId="0" applyFont="1" applyFill="1" applyBorder="1" applyAlignment="1">
      <alignment horizontal="left" vertical="top" wrapText="1"/>
    </xf>
    <xf numFmtId="0" fontId="2317" fillId="7" borderId="3" xfId="0" applyFont="1" applyFill="1" applyBorder="1" applyAlignment="1">
      <alignment horizontal="left" vertical="top" wrapText="1"/>
    </xf>
    <xf numFmtId="0" fontId="2478" fillId="7" borderId="3" xfId="0" applyFont="1" applyFill="1" applyBorder="1" applyAlignment="1">
      <alignment horizontal="left" vertical="top" wrapText="1"/>
    </xf>
    <xf numFmtId="0" fontId="2407" fillId="7" borderId="3" xfId="0" applyFont="1" applyFill="1" applyBorder="1" applyAlignment="1">
      <alignment horizontal="left" vertical="top" wrapText="1"/>
    </xf>
    <xf numFmtId="0" fontId="2485" fillId="7" borderId="3" xfId="0" applyFont="1" applyFill="1" applyBorder="1" applyAlignment="1">
      <alignment horizontal="left" vertical="top" wrapText="1"/>
    </xf>
    <xf numFmtId="0" fontId="2428" fillId="7" borderId="3" xfId="0" applyFont="1" applyFill="1" applyBorder="1" applyAlignment="1">
      <alignment horizontal="left" vertical="top" wrapText="1"/>
    </xf>
    <xf numFmtId="0" fontId="2373" fillId="7" borderId="3" xfId="0" applyFont="1" applyFill="1" applyBorder="1" applyAlignment="1">
      <alignment horizontal="left" vertical="top" wrapText="1"/>
    </xf>
    <xf numFmtId="0" fontId="2427" fillId="7" borderId="3" xfId="0" applyFont="1" applyFill="1" applyBorder="1" applyAlignment="1">
      <alignment horizontal="left" vertical="top" wrapText="1"/>
    </xf>
    <xf numFmtId="0" fontId="2344" fillId="7" borderId="3" xfId="0" applyFont="1" applyFill="1" applyBorder="1" applyAlignment="1">
      <alignment horizontal="left" vertical="top" wrapText="1"/>
    </xf>
    <xf numFmtId="0" fontId="2318" fillId="7" borderId="3" xfId="0" applyFont="1" applyFill="1" applyBorder="1" applyAlignment="1">
      <alignment horizontal="left" vertical="top" wrapText="1"/>
    </xf>
    <xf numFmtId="0" fontId="2479" fillId="7" borderId="3" xfId="0" applyFont="1" applyFill="1" applyBorder="1" applyAlignment="1">
      <alignment horizontal="left" vertical="top" wrapText="1"/>
    </xf>
    <xf numFmtId="0" fontId="2298" fillId="7" borderId="3" xfId="0" applyFont="1" applyFill="1" applyBorder="1" applyAlignment="1">
      <alignment horizontal="left" vertical="top" wrapText="1"/>
    </xf>
    <xf numFmtId="0" fontId="2486" fillId="7" borderId="3" xfId="0" applyFont="1" applyFill="1" applyBorder="1" applyAlignment="1">
      <alignment horizontal="left" vertical="top" wrapText="1"/>
    </xf>
    <xf numFmtId="0" fontId="2429" fillId="7" borderId="3" xfId="0" applyFont="1" applyFill="1" applyBorder="1" applyAlignment="1">
      <alignment horizontal="left" vertical="top" wrapText="1"/>
    </xf>
    <xf numFmtId="0" fontId="2374" fillId="7" borderId="3" xfId="0" applyFont="1" applyFill="1" applyBorder="1" applyAlignment="1">
      <alignment horizontal="left" vertical="top" wrapText="1"/>
    </xf>
    <xf numFmtId="0" fontId="2443" fillId="7" borderId="3" xfId="0" applyFont="1" applyFill="1" applyBorder="1" applyAlignment="1">
      <alignment horizontal="left" vertical="top" wrapText="1"/>
    </xf>
    <xf numFmtId="0" fontId="2345" fillId="7" borderId="3" xfId="0" applyFont="1" applyFill="1" applyBorder="1" applyAlignment="1">
      <alignment horizontal="left" vertical="top" wrapText="1"/>
    </xf>
    <xf numFmtId="0" fontId="2319" fillId="7" borderId="3" xfId="0" applyFont="1" applyFill="1" applyBorder="1" applyAlignment="1">
      <alignment horizontal="left" vertical="top" wrapText="1"/>
    </xf>
    <xf numFmtId="0" fontId="2480" fillId="7" borderId="3" xfId="0" applyFont="1" applyFill="1" applyBorder="1" applyAlignment="1">
      <alignment horizontal="left" vertical="top" wrapText="1"/>
    </xf>
    <xf numFmtId="0" fontId="2299" fillId="7" borderId="3" xfId="0" applyFont="1" applyFill="1" applyBorder="1" applyAlignment="1">
      <alignment horizontal="left" vertical="top" wrapText="1"/>
    </xf>
    <xf numFmtId="0" fontId="2487" fillId="7" borderId="3" xfId="0" applyFont="1" applyFill="1" applyBorder="1" applyAlignment="1">
      <alignment horizontal="left" vertical="top" wrapText="1"/>
    </xf>
    <xf numFmtId="0" fontId="2430" fillId="7" borderId="3" xfId="0" applyFont="1" applyFill="1" applyBorder="1" applyAlignment="1">
      <alignment horizontal="left" vertical="top" wrapText="1"/>
    </xf>
    <xf numFmtId="0" fontId="2375" fillId="7" borderId="3" xfId="0" applyFont="1" applyFill="1" applyBorder="1" applyAlignment="1">
      <alignment horizontal="left" vertical="top" wrapText="1"/>
    </xf>
    <xf numFmtId="0" fontId="2444" fillId="7" borderId="3" xfId="0" applyFont="1" applyFill="1" applyBorder="1" applyAlignment="1">
      <alignment horizontal="left" vertical="top" wrapText="1"/>
    </xf>
    <xf numFmtId="0" fontId="2346" fillId="7" borderId="3" xfId="0" applyFont="1" applyFill="1" applyBorder="1" applyAlignment="1">
      <alignment horizontal="left" vertical="top" wrapText="1"/>
    </xf>
    <xf numFmtId="0" fontId="2320" fillId="7" borderId="3" xfId="0" applyFont="1" applyFill="1" applyBorder="1" applyAlignment="1">
      <alignment horizontal="left" vertical="top" wrapText="1"/>
    </xf>
    <xf numFmtId="0" fontId="2481" fillId="7" borderId="3" xfId="0" applyFont="1" applyFill="1" applyBorder="1" applyAlignment="1">
      <alignment horizontal="left" vertical="top" wrapText="1"/>
    </xf>
    <xf numFmtId="0" fontId="2300" fillId="7" borderId="3" xfId="0" applyFont="1" applyFill="1" applyBorder="1" applyAlignment="1">
      <alignment horizontal="left" vertical="top" wrapText="1"/>
    </xf>
    <xf numFmtId="0" fontId="2488" fillId="7" borderId="3" xfId="0" applyFont="1" applyFill="1" applyBorder="1" applyAlignment="1">
      <alignment horizontal="left" vertical="top" wrapText="1"/>
    </xf>
    <xf numFmtId="0" fontId="2431" fillId="7" borderId="3" xfId="0" applyFont="1" applyFill="1" applyBorder="1" applyAlignment="1">
      <alignment horizontal="left" vertical="top" wrapText="1"/>
    </xf>
    <xf numFmtId="0" fontId="2376" fillId="7" borderId="3" xfId="0" applyFont="1" applyFill="1" applyBorder="1" applyAlignment="1">
      <alignment horizontal="left" vertical="top" wrapText="1"/>
    </xf>
    <xf numFmtId="0" fontId="2445" fillId="7" borderId="3" xfId="0" applyFont="1" applyFill="1" applyBorder="1" applyAlignment="1">
      <alignment horizontal="left" vertical="top" wrapText="1"/>
    </xf>
    <xf numFmtId="0" fontId="2347" fillId="7" borderId="3" xfId="0" applyFont="1" applyFill="1" applyBorder="1" applyAlignment="1">
      <alignment horizontal="left" vertical="top" wrapText="1"/>
    </xf>
    <xf numFmtId="0" fontId="2321" fillId="7" borderId="3" xfId="0" applyFont="1" applyFill="1" applyBorder="1" applyAlignment="1">
      <alignment horizontal="left" vertical="top" wrapText="1"/>
    </xf>
    <xf numFmtId="0" fontId="2482" fillId="7" borderId="3" xfId="0" applyFont="1" applyFill="1" applyBorder="1" applyAlignment="1">
      <alignment horizontal="left" vertical="top" wrapText="1"/>
    </xf>
    <xf numFmtId="0" fontId="2301" fillId="7" borderId="3" xfId="0" applyFont="1" applyFill="1" applyBorder="1" applyAlignment="1">
      <alignment horizontal="left" vertical="top" wrapText="1"/>
    </xf>
    <xf numFmtId="0" fontId="2489" fillId="7" borderId="3" xfId="0" applyFont="1" applyFill="1" applyBorder="1" applyAlignment="1">
      <alignment horizontal="left" vertical="top" wrapText="1"/>
    </xf>
    <xf numFmtId="0" fontId="2432" fillId="7" borderId="3" xfId="0" applyFont="1" applyFill="1" applyBorder="1" applyAlignment="1">
      <alignment horizontal="left" vertical="top" wrapText="1"/>
    </xf>
    <xf numFmtId="0" fontId="2377" fillId="7" borderId="3" xfId="0" applyFont="1" applyFill="1" applyBorder="1" applyAlignment="1">
      <alignment horizontal="left" vertical="top" wrapText="1"/>
    </xf>
    <xf numFmtId="0" fontId="2446" fillId="7" borderId="3" xfId="0" applyFont="1" applyFill="1" applyBorder="1" applyAlignment="1">
      <alignment horizontal="left" vertical="top" wrapText="1"/>
    </xf>
    <xf numFmtId="0" fontId="2348" fillId="7" borderId="3" xfId="0" applyFont="1" applyFill="1" applyBorder="1" applyAlignment="1">
      <alignment horizontal="left" vertical="top" wrapText="1"/>
    </xf>
    <xf numFmtId="0" fontId="2322" fillId="7" borderId="3" xfId="0" applyFont="1" applyFill="1" applyBorder="1" applyAlignment="1">
      <alignment horizontal="left" vertical="top" wrapText="1"/>
    </xf>
    <xf numFmtId="0" fontId="2483" fillId="7" borderId="3" xfId="0" applyFont="1" applyFill="1" applyBorder="1" applyAlignment="1">
      <alignment horizontal="left" vertical="top" wrapText="1"/>
    </xf>
    <xf numFmtId="0" fontId="2302" fillId="7" borderId="3" xfId="0" applyFont="1" applyFill="1" applyBorder="1" applyAlignment="1">
      <alignment horizontal="left" vertical="top" wrapText="1"/>
    </xf>
    <xf numFmtId="0" fontId="2490" fillId="7" borderId="3" xfId="0" applyFont="1" applyFill="1" applyBorder="1" applyAlignment="1">
      <alignment horizontal="left" vertical="top" wrapText="1"/>
    </xf>
    <xf numFmtId="0" fontId="2433" fillId="7" borderId="3" xfId="0" applyFont="1" applyFill="1" applyBorder="1" applyAlignment="1">
      <alignment horizontal="left" vertical="top" wrapText="1"/>
    </xf>
    <xf numFmtId="0" fontId="2378" fillId="7" borderId="3" xfId="0" applyFont="1" applyFill="1" applyBorder="1" applyAlignment="1">
      <alignment horizontal="left" vertical="top" wrapText="1"/>
    </xf>
    <xf numFmtId="0" fontId="2461" fillId="7" borderId="3" xfId="0" applyFont="1" applyFill="1" applyBorder="1" applyAlignment="1">
      <alignment horizontal="left" vertical="top" wrapText="1"/>
    </xf>
    <xf numFmtId="0" fontId="2349" fillId="7" borderId="3" xfId="0" applyFont="1" applyFill="1" applyBorder="1" applyAlignment="1">
      <alignment horizontal="left" vertical="top" wrapText="1"/>
    </xf>
    <xf numFmtId="0" fontId="2323" fillId="7" borderId="3" xfId="0" applyFont="1" applyFill="1" applyBorder="1" applyAlignment="1">
      <alignment horizontal="left" vertical="top" wrapText="1"/>
    </xf>
    <xf numFmtId="0" fontId="2459" fillId="7" borderId="3" xfId="0" applyFont="1" applyFill="1" applyBorder="1" applyAlignment="1">
      <alignment horizontal="left" vertical="top" wrapText="1"/>
    </xf>
    <xf numFmtId="0" fontId="2386" fillId="7" borderId="3" xfId="0" applyFont="1" applyFill="1" applyBorder="1" applyAlignment="1">
      <alignment horizontal="left" vertical="top" wrapText="1"/>
    </xf>
    <xf numFmtId="0" fontId="2491" fillId="7" borderId="3" xfId="0" applyFont="1" applyFill="1" applyBorder="1" applyAlignment="1">
      <alignment horizontal="left" vertical="top" wrapText="1"/>
    </xf>
    <xf numFmtId="0" fontId="2434" fillId="7" borderId="3" xfId="0" applyFont="1" applyFill="1" applyBorder="1" applyAlignment="1">
      <alignment horizontal="left" vertical="top" wrapText="1"/>
    </xf>
    <xf numFmtId="0" fontId="2379" fillId="7" borderId="3" xfId="0" applyFont="1" applyFill="1" applyBorder="1" applyAlignment="1">
      <alignment horizontal="left" vertical="top" wrapText="1"/>
    </xf>
    <xf numFmtId="0" fontId="2462" fillId="7" borderId="3" xfId="0" applyFont="1" applyFill="1" applyBorder="1" applyAlignment="1">
      <alignment horizontal="left" vertical="top" wrapText="1"/>
    </xf>
    <xf numFmtId="0" fontId="2350" fillId="7" borderId="3" xfId="0" applyFont="1" applyFill="1" applyBorder="1" applyAlignment="1">
      <alignment horizontal="left" vertical="top" wrapText="1"/>
    </xf>
    <xf numFmtId="0" fontId="2324" fillId="7" borderId="3" xfId="0" applyFont="1" applyFill="1" applyBorder="1" applyAlignment="1">
      <alignment horizontal="left" vertical="top" wrapText="1"/>
    </xf>
    <xf numFmtId="0" fontId="2460" fillId="7" borderId="3" xfId="0" applyFont="1" applyFill="1" applyBorder="1" applyAlignment="1">
      <alignment horizontal="left" vertical="top" wrapText="1"/>
    </xf>
    <xf numFmtId="0" fontId="2387" fillId="7" borderId="3" xfId="0" applyFont="1" applyFill="1" applyBorder="1" applyAlignment="1">
      <alignment horizontal="left" vertical="top" wrapText="1"/>
    </xf>
    <xf numFmtId="0" fontId="2492" fillId="7" borderId="3" xfId="0" applyFont="1" applyFill="1" applyBorder="1" applyAlignment="1">
      <alignment horizontal="left" vertical="top" wrapText="1"/>
    </xf>
    <xf numFmtId="0" fontId="2435" fillId="7" borderId="3" xfId="0" applyFont="1" applyFill="1" applyBorder="1" applyAlignment="1">
      <alignment horizontal="left" vertical="top" wrapText="1"/>
    </xf>
    <xf numFmtId="0" fontId="2380" fillId="7" borderId="3" xfId="0" applyFont="1" applyFill="1" applyBorder="1" applyAlignment="1">
      <alignment horizontal="left" vertical="top" wrapText="1"/>
    </xf>
    <xf numFmtId="0" fontId="2463" fillId="7" borderId="3" xfId="0" applyFont="1" applyFill="1" applyBorder="1" applyAlignment="1">
      <alignment horizontal="left" vertical="top" wrapText="1"/>
    </xf>
    <xf numFmtId="0" fontId="2351" fillId="7" borderId="3" xfId="0" applyFont="1" applyFill="1" applyBorder="1" applyAlignment="1">
      <alignment horizontal="left" vertical="top" wrapText="1"/>
    </xf>
    <xf numFmtId="0" fontId="2325" fillId="7" borderId="3" xfId="0" applyFont="1" applyFill="1" applyBorder="1" applyAlignment="1">
      <alignment horizontal="left" vertical="top" wrapText="1"/>
    </xf>
    <xf numFmtId="0" fontId="2499" fillId="7" borderId="3" xfId="0" applyFont="1" applyFill="1" applyBorder="1" applyAlignment="1">
      <alignment horizontal="left" vertical="top" wrapText="1"/>
    </xf>
    <xf numFmtId="0" fontId="2388" fillId="7" borderId="3" xfId="0" applyFont="1" applyFill="1" applyBorder="1" applyAlignment="1">
      <alignment horizontal="left" vertical="top" wrapText="1"/>
    </xf>
    <xf numFmtId="0" fontId="2493" fillId="7" borderId="3" xfId="0" applyFont="1" applyFill="1" applyBorder="1" applyAlignment="1">
      <alignment horizontal="left" vertical="top" wrapText="1"/>
    </xf>
    <xf numFmtId="0" fontId="2436" fillId="7" borderId="3" xfId="0" applyFont="1" applyFill="1" applyBorder="1" applyAlignment="1">
      <alignment horizontal="left" vertical="top" wrapText="1"/>
    </xf>
    <xf numFmtId="0" fontId="2381" fillId="7" borderId="3" xfId="0" applyFont="1" applyFill="1" applyBorder="1" applyAlignment="1">
      <alignment horizontal="left" vertical="top" wrapText="1"/>
    </xf>
    <xf numFmtId="0" fontId="2464" fillId="7" borderId="3" xfId="0" applyFont="1" applyFill="1" applyBorder="1" applyAlignment="1">
      <alignment horizontal="left" vertical="top" wrapText="1"/>
    </xf>
    <xf numFmtId="0" fontId="2352" fillId="7" borderId="3" xfId="0" applyFont="1" applyFill="1" applyBorder="1" applyAlignment="1">
      <alignment horizontal="left" vertical="top" wrapText="1"/>
    </xf>
    <xf numFmtId="0" fontId="2326" fillId="7" borderId="3" xfId="0" applyFont="1" applyFill="1" applyBorder="1" applyAlignment="1">
      <alignment horizontal="left" vertical="top" wrapText="1"/>
    </xf>
    <xf numFmtId="0" fontId="2500" fillId="7" borderId="3" xfId="0" applyFont="1" applyFill="1" applyBorder="1" applyAlignment="1">
      <alignment horizontal="left" vertical="top" wrapText="1"/>
    </xf>
    <xf numFmtId="0" fontId="2389" fillId="7" borderId="3" xfId="0" applyFont="1" applyFill="1" applyBorder="1" applyAlignment="1">
      <alignment horizontal="left" vertical="top" wrapText="1"/>
    </xf>
    <xf numFmtId="0" fontId="2494" fillId="7" borderId="3" xfId="0" applyFont="1" applyFill="1" applyBorder="1" applyAlignment="1">
      <alignment horizontal="left" vertical="top" wrapText="1"/>
    </xf>
    <xf numFmtId="0" fontId="2437" fillId="7" borderId="3" xfId="0" applyFont="1" applyFill="1" applyBorder="1" applyAlignment="1">
      <alignment horizontal="left" vertical="top" wrapText="1"/>
    </xf>
    <xf numFmtId="0" fontId="2382" fillId="7" borderId="3" xfId="0" applyFont="1" applyFill="1" applyBorder="1" applyAlignment="1">
      <alignment horizontal="left" vertical="top" wrapText="1"/>
    </xf>
    <xf numFmtId="0" fontId="2465" fillId="7" borderId="3" xfId="0" applyFont="1" applyFill="1" applyBorder="1" applyAlignment="1">
      <alignment horizontal="left" vertical="top" wrapText="1"/>
    </xf>
    <xf numFmtId="0" fontId="2353" fillId="7" borderId="3" xfId="0" applyFont="1" applyFill="1" applyBorder="1" applyAlignment="1">
      <alignment horizontal="left" vertical="top" wrapText="1"/>
    </xf>
    <xf numFmtId="0" fontId="2327" fillId="7" borderId="3" xfId="0" applyFont="1" applyFill="1" applyBorder="1" applyAlignment="1">
      <alignment horizontal="left" vertical="top" wrapText="1"/>
    </xf>
    <xf numFmtId="0" fontId="2303" fillId="7" borderId="3" xfId="0" applyFont="1" applyFill="1" applyBorder="1" applyAlignment="1">
      <alignment horizontal="left" vertical="top" wrapText="1"/>
    </xf>
    <xf numFmtId="0" fontId="2390" fillId="7" borderId="3" xfId="0" applyFont="1" applyFill="1" applyBorder="1" applyAlignment="1">
      <alignment horizontal="left" vertical="top" wrapText="1"/>
    </xf>
  </cellXfs>
  <cellStyles count="8">
    <cellStyle name="Comma 2" xfId="4" xr:uid="{00000000-0005-0000-0000-000000000000}"/>
    <cellStyle name="Comma 2 2" xfId="7" xr:uid="{00000000-0005-0000-0000-000001000000}"/>
    <cellStyle name="Comma 3" xfId="2" xr:uid="{00000000-0005-0000-0000-000002000000}"/>
    <cellStyle name="Comma 3 2" xfId="6" xr:uid="{00000000-0005-0000-0000-000003000000}"/>
    <cellStyle name="Normal" xfId="0" builtinId="0"/>
    <cellStyle name="Normal 2" xfId="1" xr:uid="{00000000-0005-0000-0000-000005000000}"/>
    <cellStyle name="Normal 42" xfId="5" xr:uid="{00000000-0005-0000-0000-000006000000}"/>
    <cellStyle name="Percent 2" xfId="3"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D39"/>
  <sheetViews>
    <sheetView tabSelected="1" workbookViewId="0">
      <selection activeCell="D26" sqref="D26"/>
    </sheetView>
  </sheetViews>
  <sheetFormatPr defaultColWidth="8.85546875" defaultRowHeight="15" x14ac:dyDescent="0.25"/>
  <cols>
    <col min="1" max="1" width="3.7109375" style="1" customWidth="1"/>
    <col min="2" max="2" width="31.28515625" style="1" bestFit="1" customWidth="1"/>
    <col min="3" max="3" width="90.85546875" style="1" customWidth="1"/>
    <col min="4" max="4" width="31.28515625" style="1" bestFit="1" customWidth="1"/>
    <col min="5" max="253" width="8.85546875" style="1"/>
    <col min="254" max="254" width="3.7109375" style="1" customWidth="1"/>
    <col min="255" max="255" width="15.140625" style="1" customWidth="1"/>
    <col min="256" max="256" width="31.42578125" style="1" bestFit="1" customWidth="1"/>
    <col min="257" max="257" width="38.7109375" style="1" customWidth="1"/>
    <col min="258" max="509" width="8.85546875" style="1"/>
    <col min="510" max="510" width="3.7109375" style="1" customWidth="1"/>
    <col min="511" max="511" width="15.140625" style="1" customWidth="1"/>
    <col min="512" max="512" width="31.42578125" style="1" bestFit="1" customWidth="1"/>
    <col min="513" max="513" width="38.7109375" style="1" customWidth="1"/>
    <col min="514" max="765" width="8.85546875" style="1"/>
    <col min="766" max="766" width="3.7109375" style="1" customWidth="1"/>
    <col min="767" max="767" width="15.140625" style="1" customWidth="1"/>
    <col min="768" max="768" width="31.42578125" style="1" bestFit="1" customWidth="1"/>
    <col min="769" max="769" width="38.7109375" style="1" customWidth="1"/>
    <col min="770" max="1021" width="8.85546875" style="1"/>
    <col min="1022" max="1022" width="3.7109375" style="1" customWidth="1"/>
    <col min="1023" max="1023" width="15.140625" style="1" customWidth="1"/>
    <col min="1024" max="1024" width="31.42578125" style="1" bestFit="1" customWidth="1"/>
    <col min="1025" max="1025" width="38.7109375" style="1" customWidth="1"/>
    <col min="1026" max="1277" width="8.85546875" style="1"/>
    <col min="1278" max="1278" width="3.7109375" style="1" customWidth="1"/>
    <col min="1279" max="1279" width="15.140625" style="1" customWidth="1"/>
    <col min="1280" max="1280" width="31.42578125" style="1" bestFit="1" customWidth="1"/>
    <col min="1281" max="1281" width="38.7109375" style="1" customWidth="1"/>
    <col min="1282" max="1533" width="8.85546875" style="1"/>
    <col min="1534" max="1534" width="3.7109375" style="1" customWidth="1"/>
    <col min="1535" max="1535" width="15.140625" style="1" customWidth="1"/>
    <col min="1536" max="1536" width="31.42578125" style="1" bestFit="1" customWidth="1"/>
    <col min="1537" max="1537" width="38.7109375" style="1" customWidth="1"/>
    <col min="1538" max="1789" width="8.85546875" style="1"/>
    <col min="1790" max="1790" width="3.7109375" style="1" customWidth="1"/>
    <col min="1791" max="1791" width="15.140625" style="1" customWidth="1"/>
    <col min="1792" max="1792" width="31.42578125" style="1" bestFit="1" customWidth="1"/>
    <col min="1793" max="1793" width="38.7109375" style="1" customWidth="1"/>
    <col min="1794" max="2045" width="8.85546875" style="1"/>
    <col min="2046" max="2046" width="3.7109375" style="1" customWidth="1"/>
    <col min="2047" max="2047" width="15.140625" style="1" customWidth="1"/>
    <col min="2048" max="2048" width="31.42578125" style="1" bestFit="1" customWidth="1"/>
    <col min="2049" max="2049" width="38.7109375" style="1" customWidth="1"/>
    <col min="2050" max="2301" width="8.85546875" style="1"/>
    <col min="2302" max="2302" width="3.7109375" style="1" customWidth="1"/>
    <col min="2303" max="2303" width="15.140625" style="1" customWidth="1"/>
    <col min="2304" max="2304" width="31.42578125" style="1" bestFit="1" customWidth="1"/>
    <col min="2305" max="2305" width="38.7109375" style="1" customWidth="1"/>
    <col min="2306" max="2557" width="8.85546875" style="1"/>
    <col min="2558" max="2558" width="3.7109375" style="1" customWidth="1"/>
    <col min="2559" max="2559" width="15.140625" style="1" customWidth="1"/>
    <col min="2560" max="2560" width="31.42578125" style="1" bestFit="1" customWidth="1"/>
    <col min="2561" max="2561" width="38.7109375" style="1" customWidth="1"/>
    <col min="2562" max="2813" width="8.85546875" style="1"/>
    <col min="2814" max="2814" width="3.7109375" style="1" customWidth="1"/>
    <col min="2815" max="2815" width="15.140625" style="1" customWidth="1"/>
    <col min="2816" max="2816" width="31.42578125" style="1" bestFit="1" customWidth="1"/>
    <col min="2817" max="2817" width="38.7109375" style="1" customWidth="1"/>
    <col min="2818" max="3069" width="8.85546875" style="1"/>
    <col min="3070" max="3070" width="3.7109375" style="1" customWidth="1"/>
    <col min="3071" max="3071" width="15.140625" style="1" customWidth="1"/>
    <col min="3072" max="3072" width="31.42578125" style="1" bestFit="1" customWidth="1"/>
    <col min="3073" max="3073" width="38.7109375" style="1" customWidth="1"/>
    <col min="3074" max="3325" width="8.85546875" style="1"/>
    <col min="3326" max="3326" width="3.7109375" style="1" customWidth="1"/>
    <col min="3327" max="3327" width="15.140625" style="1" customWidth="1"/>
    <col min="3328" max="3328" width="31.42578125" style="1" bestFit="1" customWidth="1"/>
    <col min="3329" max="3329" width="38.7109375" style="1" customWidth="1"/>
    <col min="3330" max="3581" width="8.85546875" style="1"/>
    <col min="3582" max="3582" width="3.7109375" style="1" customWidth="1"/>
    <col min="3583" max="3583" width="15.140625" style="1" customWidth="1"/>
    <col min="3584" max="3584" width="31.42578125" style="1" bestFit="1" customWidth="1"/>
    <col min="3585" max="3585" width="38.7109375" style="1" customWidth="1"/>
    <col min="3586" max="3837" width="8.85546875" style="1"/>
    <col min="3838" max="3838" width="3.7109375" style="1" customWidth="1"/>
    <col min="3839" max="3839" width="15.140625" style="1" customWidth="1"/>
    <col min="3840" max="3840" width="31.42578125" style="1" bestFit="1" customWidth="1"/>
    <col min="3841" max="3841" width="38.7109375" style="1" customWidth="1"/>
    <col min="3842" max="4093" width="8.85546875" style="1"/>
    <col min="4094" max="4094" width="3.7109375" style="1" customWidth="1"/>
    <col min="4095" max="4095" width="15.140625" style="1" customWidth="1"/>
    <col min="4096" max="4096" width="31.42578125" style="1" bestFit="1" customWidth="1"/>
    <col min="4097" max="4097" width="38.7109375" style="1" customWidth="1"/>
    <col min="4098" max="4349" width="8.85546875" style="1"/>
    <col min="4350" max="4350" width="3.7109375" style="1" customWidth="1"/>
    <col min="4351" max="4351" width="15.140625" style="1" customWidth="1"/>
    <col min="4352" max="4352" width="31.42578125" style="1" bestFit="1" customWidth="1"/>
    <col min="4353" max="4353" width="38.7109375" style="1" customWidth="1"/>
    <col min="4354" max="4605" width="8.85546875" style="1"/>
    <col min="4606" max="4606" width="3.7109375" style="1" customWidth="1"/>
    <col min="4607" max="4607" width="15.140625" style="1" customWidth="1"/>
    <col min="4608" max="4608" width="31.42578125" style="1" bestFit="1" customWidth="1"/>
    <col min="4609" max="4609" width="38.7109375" style="1" customWidth="1"/>
    <col min="4610" max="4861" width="8.85546875" style="1"/>
    <col min="4862" max="4862" width="3.7109375" style="1" customWidth="1"/>
    <col min="4863" max="4863" width="15.140625" style="1" customWidth="1"/>
    <col min="4864" max="4864" width="31.42578125" style="1" bestFit="1" customWidth="1"/>
    <col min="4865" max="4865" width="38.7109375" style="1" customWidth="1"/>
    <col min="4866" max="5117" width="8.85546875" style="1"/>
    <col min="5118" max="5118" width="3.7109375" style="1" customWidth="1"/>
    <col min="5119" max="5119" width="15.140625" style="1" customWidth="1"/>
    <col min="5120" max="5120" width="31.42578125" style="1" bestFit="1" customWidth="1"/>
    <col min="5121" max="5121" width="38.7109375" style="1" customWidth="1"/>
    <col min="5122" max="5373" width="8.85546875" style="1"/>
    <col min="5374" max="5374" width="3.7109375" style="1" customWidth="1"/>
    <col min="5375" max="5375" width="15.140625" style="1" customWidth="1"/>
    <col min="5376" max="5376" width="31.42578125" style="1" bestFit="1" customWidth="1"/>
    <col min="5377" max="5377" width="38.7109375" style="1" customWidth="1"/>
    <col min="5378" max="5629" width="8.85546875" style="1"/>
    <col min="5630" max="5630" width="3.7109375" style="1" customWidth="1"/>
    <col min="5631" max="5631" width="15.140625" style="1" customWidth="1"/>
    <col min="5632" max="5632" width="31.42578125" style="1" bestFit="1" customWidth="1"/>
    <col min="5633" max="5633" width="38.7109375" style="1" customWidth="1"/>
    <col min="5634" max="5885" width="8.85546875" style="1"/>
    <col min="5886" max="5886" width="3.7109375" style="1" customWidth="1"/>
    <col min="5887" max="5887" width="15.140625" style="1" customWidth="1"/>
    <col min="5888" max="5888" width="31.42578125" style="1" bestFit="1" customWidth="1"/>
    <col min="5889" max="5889" width="38.7109375" style="1" customWidth="1"/>
    <col min="5890" max="6141" width="8.85546875" style="1"/>
    <col min="6142" max="6142" width="3.7109375" style="1" customWidth="1"/>
    <col min="6143" max="6143" width="15.140625" style="1" customWidth="1"/>
    <col min="6144" max="6144" width="31.42578125" style="1" bestFit="1" customWidth="1"/>
    <col min="6145" max="6145" width="38.7109375" style="1" customWidth="1"/>
    <col min="6146" max="6397" width="8.85546875" style="1"/>
    <col min="6398" max="6398" width="3.7109375" style="1" customWidth="1"/>
    <col min="6399" max="6399" width="15.140625" style="1" customWidth="1"/>
    <col min="6400" max="6400" width="31.42578125" style="1" bestFit="1" customWidth="1"/>
    <col min="6401" max="6401" width="38.7109375" style="1" customWidth="1"/>
    <col min="6402" max="6653" width="8.85546875" style="1"/>
    <col min="6654" max="6654" width="3.7109375" style="1" customWidth="1"/>
    <col min="6655" max="6655" width="15.140625" style="1" customWidth="1"/>
    <col min="6656" max="6656" width="31.42578125" style="1" bestFit="1" customWidth="1"/>
    <col min="6657" max="6657" width="38.7109375" style="1" customWidth="1"/>
    <col min="6658" max="6909" width="8.85546875" style="1"/>
    <col min="6910" max="6910" width="3.7109375" style="1" customWidth="1"/>
    <col min="6911" max="6911" width="15.140625" style="1" customWidth="1"/>
    <col min="6912" max="6912" width="31.42578125" style="1" bestFit="1" customWidth="1"/>
    <col min="6913" max="6913" width="38.7109375" style="1" customWidth="1"/>
    <col min="6914" max="7165" width="8.85546875" style="1"/>
    <col min="7166" max="7166" width="3.7109375" style="1" customWidth="1"/>
    <col min="7167" max="7167" width="15.140625" style="1" customWidth="1"/>
    <col min="7168" max="7168" width="31.42578125" style="1" bestFit="1" customWidth="1"/>
    <col min="7169" max="7169" width="38.7109375" style="1" customWidth="1"/>
    <col min="7170" max="7421" width="8.85546875" style="1"/>
    <col min="7422" max="7422" width="3.7109375" style="1" customWidth="1"/>
    <col min="7423" max="7423" width="15.140625" style="1" customWidth="1"/>
    <col min="7424" max="7424" width="31.42578125" style="1" bestFit="1" customWidth="1"/>
    <col min="7425" max="7425" width="38.7109375" style="1" customWidth="1"/>
    <col min="7426" max="7677" width="8.85546875" style="1"/>
    <col min="7678" max="7678" width="3.7109375" style="1" customWidth="1"/>
    <col min="7679" max="7679" width="15.140625" style="1" customWidth="1"/>
    <col min="7680" max="7680" width="31.42578125" style="1" bestFit="1" customWidth="1"/>
    <col min="7681" max="7681" width="38.7109375" style="1" customWidth="1"/>
    <col min="7682" max="7933" width="8.85546875" style="1"/>
    <col min="7934" max="7934" width="3.7109375" style="1" customWidth="1"/>
    <col min="7935" max="7935" width="15.140625" style="1" customWidth="1"/>
    <col min="7936" max="7936" width="31.42578125" style="1" bestFit="1" customWidth="1"/>
    <col min="7937" max="7937" width="38.7109375" style="1" customWidth="1"/>
    <col min="7938" max="8189" width="8.85546875" style="1"/>
    <col min="8190" max="8190" width="3.7109375" style="1" customWidth="1"/>
    <col min="8191" max="8191" width="15.140625" style="1" customWidth="1"/>
    <col min="8192" max="8192" width="31.42578125" style="1" bestFit="1" customWidth="1"/>
    <col min="8193" max="8193" width="38.7109375" style="1" customWidth="1"/>
    <col min="8194" max="8445" width="8.85546875" style="1"/>
    <col min="8446" max="8446" width="3.7109375" style="1" customWidth="1"/>
    <col min="8447" max="8447" width="15.140625" style="1" customWidth="1"/>
    <col min="8448" max="8448" width="31.42578125" style="1" bestFit="1" customWidth="1"/>
    <col min="8449" max="8449" width="38.7109375" style="1" customWidth="1"/>
    <col min="8450" max="8701" width="8.85546875" style="1"/>
    <col min="8702" max="8702" width="3.7109375" style="1" customWidth="1"/>
    <col min="8703" max="8703" width="15.140625" style="1" customWidth="1"/>
    <col min="8704" max="8704" width="31.42578125" style="1" bestFit="1" customWidth="1"/>
    <col min="8705" max="8705" width="38.7109375" style="1" customWidth="1"/>
    <col min="8706" max="8957" width="8.85546875" style="1"/>
    <col min="8958" max="8958" width="3.7109375" style="1" customWidth="1"/>
    <col min="8959" max="8959" width="15.140625" style="1" customWidth="1"/>
    <col min="8960" max="8960" width="31.42578125" style="1" bestFit="1" customWidth="1"/>
    <col min="8961" max="8961" width="38.7109375" style="1" customWidth="1"/>
    <col min="8962" max="9213" width="8.85546875" style="1"/>
    <col min="9214" max="9214" width="3.7109375" style="1" customWidth="1"/>
    <col min="9215" max="9215" width="15.140625" style="1" customWidth="1"/>
    <col min="9216" max="9216" width="31.42578125" style="1" bestFit="1" customWidth="1"/>
    <col min="9217" max="9217" width="38.7109375" style="1" customWidth="1"/>
    <col min="9218" max="9469" width="8.85546875" style="1"/>
    <col min="9470" max="9470" width="3.7109375" style="1" customWidth="1"/>
    <col min="9471" max="9471" width="15.140625" style="1" customWidth="1"/>
    <col min="9472" max="9472" width="31.42578125" style="1" bestFit="1" customWidth="1"/>
    <col min="9473" max="9473" width="38.7109375" style="1" customWidth="1"/>
    <col min="9474" max="9725" width="8.85546875" style="1"/>
    <col min="9726" max="9726" width="3.7109375" style="1" customWidth="1"/>
    <col min="9727" max="9727" width="15.140625" style="1" customWidth="1"/>
    <col min="9728" max="9728" width="31.42578125" style="1" bestFit="1" customWidth="1"/>
    <col min="9729" max="9729" width="38.7109375" style="1" customWidth="1"/>
    <col min="9730" max="9981" width="8.85546875" style="1"/>
    <col min="9982" max="9982" width="3.7109375" style="1" customWidth="1"/>
    <col min="9983" max="9983" width="15.140625" style="1" customWidth="1"/>
    <col min="9984" max="9984" width="31.42578125" style="1" bestFit="1" customWidth="1"/>
    <col min="9985" max="9985" width="38.7109375" style="1" customWidth="1"/>
    <col min="9986" max="10237" width="8.85546875" style="1"/>
    <col min="10238" max="10238" width="3.7109375" style="1" customWidth="1"/>
    <col min="10239" max="10239" width="15.140625" style="1" customWidth="1"/>
    <col min="10240" max="10240" width="31.42578125" style="1" bestFit="1" customWidth="1"/>
    <col min="10241" max="10241" width="38.7109375" style="1" customWidth="1"/>
    <col min="10242" max="10493" width="8.85546875" style="1"/>
    <col min="10494" max="10494" width="3.7109375" style="1" customWidth="1"/>
    <col min="10495" max="10495" width="15.140625" style="1" customWidth="1"/>
    <col min="10496" max="10496" width="31.42578125" style="1" bestFit="1" customWidth="1"/>
    <col min="10497" max="10497" width="38.7109375" style="1" customWidth="1"/>
    <col min="10498" max="10749" width="8.85546875" style="1"/>
    <col min="10750" max="10750" width="3.7109375" style="1" customWidth="1"/>
    <col min="10751" max="10751" width="15.140625" style="1" customWidth="1"/>
    <col min="10752" max="10752" width="31.42578125" style="1" bestFit="1" customWidth="1"/>
    <col min="10753" max="10753" width="38.7109375" style="1" customWidth="1"/>
    <col min="10754" max="11005" width="8.85546875" style="1"/>
    <col min="11006" max="11006" width="3.7109375" style="1" customWidth="1"/>
    <col min="11007" max="11007" width="15.140625" style="1" customWidth="1"/>
    <col min="11008" max="11008" width="31.42578125" style="1" bestFit="1" customWidth="1"/>
    <col min="11009" max="11009" width="38.7109375" style="1" customWidth="1"/>
    <col min="11010" max="11261" width="8.85546875" style="1"/>
    <col min="11262" max="11262" width="3.7109375" style="1" customWidth="1"/>
    <col min="11263" max="11263" width="15.140625" style="1" customWidth="1"/>
    <col min="11264" max="11264" width="31.42578125" style="1" bestFit="1" customWidth="1"/>
    <col min="11265" max="11265" width="38.7109375" style="1" customWidth="1"/>
    <col min="11266" max="11517" width="8.85546875" style="1"/>
    <col min="11518" max="11518" width="3.7109375" style="1" customWidth="1"/>
    <col min="11519" max="11519" width="15.140625" style="1" customWidth="1"/>
    <col min="11520" max="11520" width="31.42578125" style="1" bestFit="1" customWidth="1"/>
    <col min="11521" max="11521" width="38.7109375" style="1" customWidth="1"/>
    <col min="11522" max="11773" width="8.85546875" style="1"/>
    <col min="11774" max="11774" width="3.7109375" style="1" customWidth="1"/>
    <col min="11775" max="11775" width="15.140625" style="1" customWidth="1"/>
    <col min="11776" max="11776" width="31.42578125" style="1" bestFit="1" customWidth="1"/>
    <col min="11777" max="11777" width="38.7109375" style="1" customWidth="1"/>
    <col min="11778" max="12029" width="8.85546875" style="1"/>
    <col min="12030" max="12030" width="3.7109375" style="1" customWidth="1"/>
    <col min="12031" max="12031" width="15.140625" style="1" customWidth="1"/>
    <col min="12032" max="12032" width="31.42578125" style="1" bestFit="1" customWidth="1"/>
    <col min="12033" max="12033" width="38.7109375" style="1" customWidth="1"/>
    <col min="12034" max="12285" width="8.85546875" style="1"/>
    <col min="12286" max="12286" width="3.7109375" style="1" customWidth="1"/>
    <col min="12287" max="12287" width="15.140625" style="1" customWidth="1"/>
    <col min="12288" max="12288" width="31.42578125" style="1" bestFit="1" customWidth="1"/>
    <col min="12289" max="12289" width="38.7109375" style="1" customWidth="1"/>
    <col min="12290" max="12541" width="8.85546875" style="1"/>
    <col min="12542" max="12542" width="3.7109375" style="1" customWidth="1"/>
    <col min="12543" max="12543" width="15.140625" style="1" customWidth="1"/>
    <col min="12544" max="12544" width="31.42578125" style="1" bestFit="1" customWidth="1"/>
    <col min="12545" max="12545" width="38.7109375" style="1" customWidth="1"/>
    <col min="12546" max="12797" width="8.85546875" style="1"/>
    <col min="12798" max="12798" width="3.7109375" style="1" customWidth="1"/>
    <col min="12799" max="12799" width="15.140625" style="1" customWidth="1"/>
    <col min="12800" max="12800" width="31.42578125" style="1" bestFit="1" customWidth="1"/>
    <col min="12801" max="12801" width="38.7109375" style="1" customWidth="1"/>
    <col min="12802" max="13053" width="8.85546875" style="1"/>
    <col min="13054" max="13054" width="3.7109375" style="1" customWidth="1"/>
    <col min="13055" max="13055" width="15.140625" style="1" customWidth="1"/>
    <col min="13056" max="13056" width="31.42578125" style="1" bestFit="1" customWidth="1"/>
    <col min="13057" max="13057" width="38.7109375" style="1" customWidth="1"/>
    <col min="13058" max="13309" width="8.85546875" style="1"/>
    <col min="13310" max="13310" width="3.7109375" style="1" customWidth="1"/>
    <col min="13311" max="13311" width="15.140625" style="1" customWidth="1"/>
    <col min="13312" max="13312" width="31.42578125" style="1" bestFit="1" customWidth="1"/>
    <col min="13313" max="13313" width="38.7109375" style="1" customWidth="1"/>
    <col min="13314" max="13565" width="8.85546875" style="1"/>
    <col min="13566" max="13566" width="3.7109375" style="1" customWidth="1"/>
    <col min="13567" max="13567" width="15.140625" style="1" customWidth="1"/>
    <col min="13568" max="13568" width="31.42578125" style="1" bestFit="1" customWidth="1"/>
    <col min="13569" max="13569" width="38.7109375" style="1" customWidth="1"/>
    <col min="13570" max="13821" width="8.85546875" style="1"/>
    <col min="13822" max="13822" width="3.7109375" style="1" customWidth="1"/>
    <col min="13823" max="13823" width="15.140625" style="1" customWidth="1"/>
    <col min="13824" max="13824" width="31.42578125" style="1" bestFit="1" customWidth="1"/>
    <col min="13825" max="13825" width="38.7109375" style="1" customWidth="1"/>
    <col min="13826" max="14077" width="8.85546875" style="1"/>
    <col min="14078" max="14078" width="3.7109375" style="1" customWidth="1"/>
    <col min="14079" max="14079" width="15.140625" style="1" customWidth="1"/>
    <col min="14080" max="14080" width="31.42578125" style="1" bestFit="1" customWidth="1"/>
    <col min="14081" max="14081" width="38.7109375" style="1" customWidth="1"/>
    <col min="14082" max="14333" width="8.85546875" style="1"/>
    <col min="14334" max="14334" width="3.7109375" style="1" customWidth="1"/>
    <col min="14335" max="14335" width="15.140625" style="1" customWidth="1"/>
    <col min="14336" max="14336" width="31.42578125" style="1" bestFit="1" customWidth="1"/>
    <col min="14337" max="14337" width="38.7109375" style="1" customWidth="1"/>
    <col min="14338" max="14589" width="8.85546875" style="1"/>
    <col min="14590" max="14590" width="3.7109375" style="1" customWidth="1"/>
    <col min="14591" max="14591" width="15.140625" style="1" customWidth="1"/>
    <col min="14592" max="14592" width="31.42578125" style="1" bestFit="1" customWidth="1"/>
    <col min="14593" max="14593" width="38.7109375" style="1" customWidth="1"/>
    <col min="14594" max="14845" width="8.85546875" style="1"/>
    <col min="14846" max="14846" width="3.7109375" style="1" customWidth="1"/>
    <col min="14847" max="14847" width="15.140625" style="1" customWidth="1"/>
    <col min="14848" max="14848" width="31.42578125" style="1" bestFit="1" customWidth="1"/>
    <col min="14849" max="14849" width="38.7109375" style="1" customWidth="1"/>
    <col min="14850" max="15101" width="8.85546875" style="1"/>
    <col min="15102" max="15102" width="3.7109375" style="1" customWidth="1"/>
    <col min="15103" max="15103" width="15.140625" style="1" customWidth="1"/>
    <col min="15104" max="15104" width="31.42578125" style="1" bestFit="1" customWidth="1"/>
    <col min="15105" max="15105" width="38.7109375" style="1" customWidth="1"/>
    <col min="15106" max="15357" width="8.85546875" style="1"/>
    <col min="15358" max="15358" width="3.7109375" style="1" customWidth="1"/>
    <col min="15359" max="15359" width="15.140625" style="1" customWidth="1"/>
    <col min="15360" max="15360" width="31.42578125" style="1" bestFit="1" customWidth="1"/>
    <col min="15361" max="15361" width="38.7109375" style="1" customWidth="1"/>
    <col min="15362" max="15613" width="8.85546875" style="1"/>
    <col min="15614" max="15614" width="3.7109375" style="1" customWidth="1"/>
    <col min="15615" max="15615" width="15.140625" style="1" customWidth="1"/>
    <col min="15616" max="15616" width="31.42578125" style="1" bestFit="1" customWidth="1"/>
    <col min="15617" max="15617" width="38.7109375" style="1" customWidth="1"/>
    <col min="15618" max="15869" width="8.85546875" style="1"/>
    <col min="15870" max="15870" width="3.7109375" style="1" customWidth="1"/>
    <col min="15871" max="15871" width="15.140625" style="1" customWidth="1"/>
    <col min="15872" max="15872" width="31.42578125" style="1" bestFit="1" customWidth="1"/>
    <col min="15873" max="15873" width="38.7109375" style="1" customWidth="1"/>
    <col min="15874" max="16125" width="8.85546875" style="1"/>
    <col min="16126" max="16126" width="3.7109375" style="1" customWidth="1"/>
    <col min="16127" max="16127" width="15.140625" style="1" customWidth="1"/>
    <col min="16128" max="16128" width="31.42578125" style="1" bestFit="1" customWidth="1"/>
    <col min="16129" max="16129" width="38.7109375" style="1" customWidth="1"/>
    <col min="16130" max="16384" width="8.85546875" style="1"/>
  </cols>
  <sheetData>
    <row r="2" spans="1:4" x14ac:dyDescent="0.25">
      <c r="B2" s="11"/>
      <c r="D2" s="6"/>
    </row>
    <row r="3" spans="1:4" x14ac:dyDescent="0.25">
      <c r="B3" s="9"/>
      <c r="D3" s="3"/>
    </row>
    <row r="4" spans="1:4" ht="16.5" x14ac:dyDescent="0.25">
      <c r="B4" s="15"/>
      <c r="C4" s="16"/>
    </row>
    <row r="7" spans="1:4" ht="15.75" x14ac:dyDescent="0.25">
      <c r="B7" s="2"/>
      <c r="C7" s="2"/>
    </row>
    <row r="8" spans="1:4" ht="15.75" x14ac:dyDescent="0.25">
      <c r="A8" s="2"/>
      <c r="B8" s="1610" t="s">
        <v>2</v>
      </c>
      <c r="C8" s="1611" t="s">
        <v>2</v>
      </c>
      <c r="D8" s="1612"/>
    </row>
    <row r="9" spans="1:4" ht="15.75" x14ac:dyDescent="0.25">
      <c r="A9" s="2"/>
      <c r="B9" s="2"/>
      <c r="C9" s="2"/>
      <c r="D9" s="2"/>
    </row>
    <row r="10" spans="1:4" ht="18.75" x14ac:dyDescent="0.3">
      <c r="A10" s="2"/>
      <c r="B10" s="1608" t="s">
        <v>6</v>
      </c>
      <c r="C10" s="1608"/>
      <c r="D10" s="1608"/>
    </row>
    <row r="11" spans="1:4" ht="15.75" x14ac:dyDescent="0.25">
      <c r="A11" s="2"/>
      <c r="B11" s="2"/>
      <c r="C11" s="2"/>
      <c r="D11" s="2"/>
    </row>
    <row r="12" spans="1:4" ht="15.75" x14ac:dyDescent="0.25">
      <c r="A12" s="2"/>
      <c r="B12" s="1609" t="s">
        <v>7</v>
      </c>
      <c r="C12" s="1609"/>
      <c r="D12" s="1609"/>
    </row>
    <row r="13" spans="1:4" ht="15.75" x14ac:dyDescent="0.25">
      <c r="A13" s="2"/>
      <c r="B13" s="5" t="s">
        <v>0</v>
      </c>
      <c r="C13" s="4" t="s">
        <v>4</v>
      </c>
      <c r="D13" s="4" t="s">
        <v>3</v>
      </c>
    </row>
    <row r="14" spans="1:4" x14ac:dyDescent="0.25">
      <c r="B14" s="17">
        <v>1</v>
      </c>
      <c r="C14" s="13" t="s">
        <v>8</v>
      </c>
      <c r="D14" s="18" t="s">
        <v>9</v>
      </c>
    </row>
    <row r="15" spans="1:4" x14ac:dyDescent="0.25">
      <c r="B15" s="19">
        <v>2</v>
      </c>
      <c r="C15" s="13" t="s">
        <v>10</v>
      </c>
      <c r="D15" s="20" t="s">
        <v>11</v>
      </c>
    </row>
    <row r="16" spans="1:4" x14ac:dyDescent="0.25">
      <c r="B16" s="21">
        <v>3</v>
      </c>
      <c r="C16" s="13" t="s">
        <v>12</v>
      </c>
      <c r="D16" s="22" t="s">
        <v>13</v>
      </c>
    </row>
    <row r="17" spans="1:4" x14ac:dyDescent="0.25">
      <c r="B17" s="23">
        <v>4</v>
      </c>
      <c r="C17" s="13" t="s">
        <v>14</v>
      </c>
      <c r="D17" s="24" t="s">
        <v>15</v>
      </c>
    </row>
    <row r="18" spans="1:4" x14ac:dyDescent="0.25">
      <c r="B18" s="25">
        <v>5</v>
      </c>
      <c r="C18" s="13" t="s">
        <v>16</v>
      </c>
      <c r="D18" s="26" t="s">
        <v>17</v>
      </c>
    </row>
    <row r="19" spans="1:4" x14ac:dyDescent="0.25">
      <c r="B19" s="27">
        <v>6</v>
      </c>
      <c r="C19" s="13" t="s">
        <v>18</v>
      </c>
      <c r="D19" s="28" t="s">
        <v>19</v>
      </c>
    </row>
    <row r="20" spans="1:4" x14ac:dyDescent="0.25">
      <c r="B20" s="29">
        <v>7</v>
      </c>
      <c r="C20" s="13" t="s">
        <v>20</v>
      </c>
      <c r="D20" s="30" t="s">
        <v>21</v>
      </c>
    </row>
    <row r="21" spans="1:4" x14ac:dyDescent="0.25">
      <c r="B21" s="31">
        <v>8</v>
      </c>
      <c r="C21" s="13" t="s">
        <v>22</v>
      </c>
      <c r="D21" s="32" t="s">
        <v>23</v>
      </c>
    </row>
    <row r="23" spans="1:4" ht="15.75" x14ac:dyDescent="0.25">
      <c r="A23" s="2"/>
      <c r="B23" s="10" t="s">
        <v>1</v>
      </c>
      <c r="C23" s="7"/>
    </row>
    <row r="24" spans="1:4" ht="90" x14ac:dyDescent="0.25">
      <c r="B24" s="33" t="s">
        <v>24</v>
      </c>
    </row>
    <row r="25" spans="1:4" x14ac:dyDescent="0.25">
      <c r="A25" s="8"/>
      <c r="B25" s="8"/>
      <c r="C25" s="8"/>
      <c r="D25" s="8"/>
    </row>
    <row r="26" spans="1:4" ht="30" x14ac:dyDescent="0.25">
      <c r="A26" s="8"/>
      <c r="B26" s="8"/>
      <c r="C26" s="8"/>
      <c r="D26" s="8" t="s">
        <v>768</v>
      </c>
    </row>
    <row r="27" spans="1:4" x14ac:dyDescent="0.25">
      <c r="A27" s="8"/>
      <c r="B27" s="14" t="s">
        <v>25</v>
      </c>
      <c r="C27" s="14" t="s">
        <v>26</v>
      </c>
      <c r="D27" s="14" t="s">
        <v>27</v>
      </c>
    </row>
    <row r="28" spans="1:4" x14ac:dyDescent="0.25">
      <c r="A28" s="8"/>
      <c r="B28" s="8" t="s">
        <v>28</v>
      </c>
      <c r="C28" s="8" t="s">
        <v>28</v>
      </c>
      <c r="D28" s="8" t="s">
        <v>29</v>
      </c>
    </row>
    <row r="29" spans="1:4" x14ac:dyDescent="0.25">
      <c r="A29" s="8"/>
      <c r="B29" s="8"/>
      <c r="C29" s="8"/>
      <c r="D29" s="8"/>
    </row>
    <row r="30" spans="1:4" x14ac:dyDescent="0.25">
      <c r="A30" s="8"/>
      <c r="B30" s="8"/>
      <c r="C30" s="8"/>
      <c r="D30" s="8"/>
    </row>
    <row r="31" spans="1:4" x14ac:dyDescent="0.25">
      <c r="A31" s="8"/>
      <c r="B31" s="8"/>
      <c r="C31" s="8"/>
      <c r="D31" s="8"/>
    </row>
    <row r="32" spans="1:4" x14ac:dyDescent="0.25">
      <c r="A32" s="8"/>
      <c r="B32" s="8"/>
      <c r="C32" s="8"/>
      <c r="D32" s="8"/>
    </row>
    <row r="33" spans="1:4" x14ac:dyDescent="0.25">
      <c r="A33" s="8"/>
      <c r="B33" s="8"/>
      <c r="C33" s="8"/>
      <c r="D33" s="8"/>
    </row>
    <row r="34" spans="1:4" x14ac:dyDescent="0.25">
      <c r="A34" s="8"/>
      <c r="B34" s="8"/>
      <c r="C34" s="8"/>
      <c r="D34" s="8"/>
    </row>
    <row r="35" spans="1:4" x14ac:dyDescent="0.25">
      <c r="A35" s="8"/>
      <c r="B35" s="8"/>
      <c r="C35" s="8"/>
      <c r="D35" s="8"/>
    </row>
    <row r="36" spans="1:4" x14ac:dyDescent="0.25">
      <c r="A36" s="8"/>
      <c r="B36" s="8"/>
      <c r="C36" s="8"/>
      <c r="D36" s="8"/>
    </row>
    <row r="37" spans="1:4" x14ac:dyDescent="0.25">
      <c r="A37" s="8"/>
      <c r="B37" s="8"/>
      <c r="C37" s="8"/>
      <c r="D37" s="8"/>
    </row>
    <row r="38" spans="1:4" x14ac:dyDescent="0.25">
      <c r="A38" s="8"/>
      <c r="B38" s="8"/>
      <c r="C38" s="8"/>
      <c r="D38" s="8"/>
    </row>
    <row r="39" spans="1:4" x14ac:dyDescent="0.25">
      <c r="A39" s="8"/>
      <c r="B39" s="8"/>
      <c r="C39" s="8"/>
      <c r="D39" s="8"/>
    </row>
  </sheetData>
  <mergeCells count="3">
    <mergeCell ref="B10:D10"/>
    <mergeCell ref="B12:D12"/>
    <mergeCell ref="B8:D8"/>
  </mergeCells>
  <hyperlinks>
    <hyperlink ref="D14" location="'BCTCR_06608'!A1" display="BCTCR_06608" xr:uid="{00000000-0004-0000-0000-000000000000}"/>
    <hyperlink ref="D15" location="'CCTTCR_06609'!A1" display="CCTTCR_06609" xr:uid="{00000000-0004-0000-0000-000001000000}"/>
    <hyperlink ref="D16" location="'BCKQHDR_06610'!A1" display="BCKQHDR_06610" xr:uid="{00000000-0004-0000-0000-000002000000}"/>
    <hyperlink ref="D17" location="'BCLCTTRTT_06611'!A1" display="BCLCTTRTT_06611" xr:uid="{00000000-0004-0000-0000-000003000000}"/>
    <hyperlink ref="D18" location="'PLCTTHDMGUTCKHTT_06612'!A1" display="PLCTTHDMGUTCKHTT_06612" xr:uid="{00000000-0004-0000-0000-000004000000}"/>
    <hyperlink ref="D19" location="'BCLCTTRGT_06613'!A1" display="BCLCTTRGT_06613" xr:uid="{00000000-0004-0000-0000-000005000000}"/>
    <hyperlink ref="D20" location="'PLCTTHDMGUTCKHGT_06614'!A1" display="PLCTTHDMGUTCKHGT_06614" xr:uid="{00000000-0004-0000-0000-000006000000}"/>
    <hyperlink ref="D21" location="'BCTHBDVCSH_06615'!A1" display="BCTHBDVCSH_06615" xr:uid="{00000000-0004-0000-0000-000007000000}"/>
  </hyperlink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cols>
    <col min="1" max="1" width="6.42578125" bestFit="1" customWidth="1"/>
  </cols>
  <sheetData>
    <row r="1" spans="1:1" ht="16.5" x14ac:dyDescent="0.25">
      <c r="A1" s="12">
        <v>4190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37"/>
  <sheetViews>
    <sheetView workbookViewId="0">
      <selection activeCell="A6" sqref="A6:A137"/>
    </sheetView>
  </sheetViews>
  <sheetFormatPr defaultRowHeight="15" x14ac:dyDescent="0.25"/>
  <cols>
    <col min="1" max="1" width="31.28515625" bestFit="1" customWidth="1"/>
    <col min="2" max="2" width="12.85546875" bestFit="1" customWidth="1"/>
    <col min="3" max="3" width="16.7109375" bestFit="1" customWidth="1"/>
    <col min="4" max="5" width="19.5703125" customWidth="1"/>
  </cols>
  <sheetData>
    <row r="1" spans="1:5" ht="20.25" x14ac:dyDescent="0.3">
      <c r="A1" s="1613" t="s">
        <v>8</v>
      </c>
      <c r="B1" s="1613" t="s">
        <v>5</v>
      </c>
      <c r="C1" s="1613" t="s">
        <v>5</v>
      </c>
      <c r="D1" s="1613" t="s">
        <v>5</v>
      </c>
      <c r="E1" s="1613" t="s">
        <v>5</v>
      </c>
    </row>
    <row r="2" spans="1:5" ht="18.75" x14ac:dyDescent="0.3">
      <c r="A2" s="1614" t="s">
        <v>35</v>
      </c>
      <c r="B2" s="1614" t="s">
        <v>5</v>
      </c>
      <c r="C2" s="1614" t="s">
        <v>5</v>
      </c>
      <c r="D2" s="1614" t="s">
        <v>5</v>
      </c>
      <c r="E2" s="1614" t="s">
        <v>5</v>
      </c>
    </row>
    <row r="3" spans="1:5" ht="18.75" x14ac:dyDescent="0.3">
      <c r="A3" s="1614" t="s">
        <v>36</v>
      </c>
      <c r="B3" s="1614" t="s">
        <v>5</v>
      </c>
      <c r="C3" s="1614" t="s">
        <v>5</v>
      </c>
      <c r="D3" s="1614" t="s">
        <v>5</v>
      </c>
      <c r="E3" s="1614" t="s">
        <v>5</v>
      </c>
    </row>
    <row r="4" spans="1:5" ht="18.75" x14ac:dyDescent="0.25">
      <c r="A4" s="35" t="s">
        <v>30</v>
      </c>
      <c r="B4" s="35" t="s">
        <v>31</v>
      </c>
      <c r="C4" s="35" t="s">
        <v>32</v>
      </c>
      <c r="D4" s="35" t="s">
        <v>33</v>
      </c>
      <c r="E4" s="35" t="s">
        <v>34</v>
      </c>
    </row>
    <row r="5" spans="1:5" ht="16.5" x14ac:dyDescent="0.25">
      <c r="A5" s="47" t="s">
        <v>40</v>
      </c>
      <c r="B5" s="129" t="s">
        <v>115</v>
      </c>
      <c r="C5" s="87" t="s">
        <v>80</v>
      </c>
      <c r="D5" s="353" t="s">
        <v>224</v>
      </c>
      <c r="E5" s="88" t="s">
        <v>81</v>
      </c>
    </row>
    <row r="6" spans="1:5" ht="16.5" x14ac:dyDescent="0.25">
      <c r="A6" s="229" t="s">
        <v>161</v>
      </c>
      <c r="B6" s="91" t="s">
        <v>84</v>
      </c>
      <c r="C6" s="134"/>
      <c r="D6" s="1630">
        <v>71358722193</v>
      </c>
      <c r="E6" s="1631">
        <v>138223648674</v>
      </c>
    </row>
    <row r="7" spans="1:5" ht="33" x14ac:dyDescent="0.25">
      <c r="A7" s="230" t="s">
        <v>162</v>
      </c>
      <c r="B7" s="260" t="s">
        <v>188</v>
      </c>
      <c r="C7" s="135"/>
      <c r="D7" s="1632">
        <v>1529768349900</v>
      </c>
      <c r="E7" s="1633">
        <v>914319864860</v>
      </c>
    </row>
    <row r="8" spans="1:5" ht="16.5" x14ac:dyDescent="0.25">
      <c r="A8" s="228" t="s">
        <v>160</v>
      </c>
      <c r="B8" s="123" t="s">
        <v>109</v>
      </c>
      <c r="C8" s="133"/>
      <c r="D8" s="1634">
        <v>2260070133413</v>
      </c>
      <c r="E8" s="1635">
        <v>2296016292341</v>
      </c>
    </row>
    <row r="9" spans="1:5" ht="33" x14ac:dyDescent="0.25">
      <c r="A9" s="209" t="s">
        <v>143</v>
      </c>
      <c r="B9" s="112" t="s">
        <v>98</v>
      </c>
      <c r="C9" s="299"/>
      <c r="D9" s="1636" t="s">
        <v>5</v>
      </c>
      <c r="E9" s="1637" t="s">
        <v>5</v>
      </c>
    </row>
    <row r="10" spans="1:5" ht="16.5" x14ac:dyDescent="0.25">
      <c r="A10" s="286" t="s">
        <v>211</v>
      </c>
      <c r="B10" s="34" t="s">
        <v>5</v>
      </c>
      <c r="C10" s="365"/>
      <c r="D10" s="1638" t="s">
        <v>5</v>
      </c>
      <c r="E10" s="1639" t="s">
        <v>5</v>
      </c>
    </row>
    <row r="11" spans="1:5" ht="33" x14ac:dyDescent="0.25">
      <c r="A11" s="197" t="s">
        <v>131</v>
      </c>
      <c r="B11" s="381" t="s">
        <v>247</v>
      </c>
      <c r="C11" s="344"/>
      <c r="D11" s="1640" t="s">
        <v>5</v>
      </c>
      <c r="E11" s="1641" t="s">
        <v>5</v>
      </c>
    </row>
    <row r="12" spans="1:5" ht="33" x14ac:dyDescent="0.25">
      <c r="A12" s="195" t="s">
        <v>129</v>
      </c>
      <c r="B12" s="379" t="s">
        <v>245</v>
      </c>
      <c r="C12" s="332"/>
      <c r="D12" s="1642">
        <v>2262599294576</v>
      </c>
      <c r="E12" s="1643">
        <v>2298087722425</v>
      </c>
    </row>
    <row r="13" spans="1:5" ht="33" x14ac:dyDescent="0.25">
      <c r="A13" s="196" t="s">
        <v>130</v>
      </c>
      <c r="B13" s="380" t="s">
        <v>246</v>
      </c>
      <c r="C13" s="343"/>
      <c r="D13" s="1644">
        <v>71358722193</v>
      </c>
      <c r="E13" s="1645">
        <v>138223648674</v>
      </c>
    </row>
    <row r="14" spans="1:5" ht="16.5" x14ac:dyDescent="0.25">
      <c r="A14" s="198" t="s">
        <v>132</v>
      </c>
      <c r="B14" s="185" t="s">
        <v>119</v>
      </c>
      <c r="C14" s="345"/>
      <c r="D14" s="1646">
        <v>74952896089</v>
      </c>
      <c r="E14" s="1647">
        <v>92390058256</v>
      </c>
    </row>
    <row r="15" spans="1:5" ht="33" x14ac:dyDescent="0.25">
      <c r="A15" s="231" t="s">
        <v>163</v>
      </c>
      <c r="B15" s="113" t="s">
        <v>99</v>
      </c>
      <c r="C15" s="136"/>
      <c r="D15" s="1648">
        <v>30310000000</v>
      </c>
      <c r="E15" s="1649">
        <v>30310000000</v>
      </c>
    </row>
    <row r="16" spans="1:5" ht="66" x14ac:dyDescent="0.25">
      <c r="A16" s="199" t="s">
        <v>133</v>
      </c>
      <c r="B16" s="92" t="s">
        <v>85</v>
      </c>
      <c r="C16" s="346"/>
      <c r="D16" s="1650">
        <v>-22661105697</v>
      </c>
      <c r="E16" s="1651">
        <v>-25460285612</v>
      </c>
    </row>
    <row r="17" spans="1:5" ht="16.5" x14ac:dyDescent="0.25">
      <c r="A17" s="232" t="s">
        <v>164</v>
      </c>
      <c r="B17" s="186" t="s">
        <v>120</v>
      </c>
      <c r="C17" s="137"/>
      <c r="D17" s="1652">
        <v>574482216775</v>
      </c>
      <c r="E17" s="1653">
        <v>1144200622703</v>
      </c>
    </row>
    <row r="18" spans="1:5" ht="49.5" x14ac:dyDescent="0.25">
      <c r="A18" s="48" t="s">
        <v>41</v>
      </c>
      <c r="B18" s="95" t="s">
        <v>88</v>
      </c>
      <c r="C18" s="347"/>
      <c r="D18" s="1654">
        <v>112194000</v>
      </c>
      <c r="E18" s="1655">
        <v>0</v>
      </c>
    </row>
    <row r="19" spans="1:5" ht="33" x14ac:dyDescent="0.25">
      <c r="A19" s="233" t="s">
        <v>165</v>
      </c>
      <c r="B19" s="93" t="s">
        <v>86</v>
      </c>
      <c r="C19" s="138"/>
      <c r="D19" s="1656">
        <v>574370022775</v>
      </c>
      <c r="E19" s="1657">
        <v>1144200622703</v>
      </c>
    </row>
    <row r="20" spans="1:5" ht="33" x14ac:dyDescent="0.25">
      <c r="A20" s="210" t="s">
        <v>144</v>
      </c>
      <c r="B20" s="382" t="s">
        <v>248</v>
      </c>
      <c r="C20" s="348"/>
      <c r="D20" s="1658" t="s">
        <v>5</v>
      </c>
      <c r="E20" s="1659" t="s">
        <v>5</v>
      </c>
    </row>
    <row r="21" spans="1:5" ht="33" x14ac:dyDescent="0.25">
      <c r="A21" s="200" t="s">
        <v>134</v>
      </c>
      <c r="B21" s="114" t="s">
        <v>100</v>
      </c>
      <c r="C21" s="300"/>
      <c r="D21" s="1660">
        <v>112194000</v>
      </c>
      <c r="E21" s="1661">
        <v>0</v>
      </c>
    </row>
    <row r="22" spans="1:5" ht="16.5" x14ac:dyDescent="0.25">
      <c r="A22" s="49" t="s">
        <v>42</v>
      </c>
      <c r="B22" s="278" t="s">
        <v>203</v>
      </c>
      <c r="C22" s="349"/>
      <c r="D22" s="1662">
        <v>2689000000</v>
      </c>
      <c r="E22" s="1663">
        <v>2689000000</v>
      </c>
    </row>
    <row r="23" spans="1:5" ht="33" x14ac:dyDescent="0.25">
      <c r="A23" s="234" t="s">
        <v>166</v>
      </c>
      <c r="B23" s="115" t="s">
        <v>101</v>
      </c>
      <c r="C23" s="336"/>
      <c r="D23" s="1664">
        <v>1882054153</v>
      </c>
      <c r="E23" s="1665">
        <v>1975704277</v>
      </c>
    </row>
    <row r="24" spans="1:5" ht="16.5" x14ac:dyDescent="0.25">
      <c r="A24" s="211" t="s">
        <v>145</v>
      </c>
      <c r="B24" s="279" t="s">
        <v>204</v>
      </c>
      <c r="C24" s="350"/>
      <c r="D24" s="1666" t="s">
        <v>5</v>
      </c>
      <c r="E24" s="1667" t="s">
        <v>5</v>
      </c>
    </row>
    <row r="25" spans="1:5" ht="33" x14ac:dyDescent="0.25">
      <c r="A25" s="235" t="s">
        <v>167</v>
      </c>
      <c r="B25" s="280" t="s">
        <v>205</v>
      </c>
      <c r="C25" s="139"/>
      <c r="D25" s="1668" t="s">
        <v>5</v>
      </c>
      <c r="E25" s="1669" t="s">
        <v>5</v>
      </c>
    </row>
    <row r="26" spans="1:5" ht="16.5" x14ac:dyDescent="0.25">
      <c r="A26" s="201" t="s">
        <v>135</v>
      </c>
      <c r="B26" s="187" t="s">
        <v>121</v>
      </c>
      <c r="C26" s="351"/>
      <c r="D26" s="1670">
        <v>2321000000</v>
      </c>
      <c r="E26" s="1671">
        <v>1680679183</v>
      </c>
    </row>
    <row r="27" spans="1:5" ht="33" x14ac:dyDescent="0.25">
      <c r="A27" s="50" t="s">
        <v>43</v>
      </c>
      <c r="B27" s="188" t="s">
        <v>122</v>
      </c>
      <c r="C27" s="352"/>
      <c r="D27" s="1672">
        <v>-5033000000</v>
      </c>
      <c r="E27" s="1673">
        <v>-4313000000</v>
      </c>
    </row>
    <row r="28" spans="1:5" ht="16.5" x14ac:dyDescent="0.25">
      <c r="A28" s="51" t="s">
        <v>44</v>
      </c>
      <c r="B28" s="89" t="s">
        <v>82</v>
      </c>
      <c r="C28" s="301"/>
      <c r="D28" s="1674">
        <v>2529161163</v>
      </c>
      <c r="E28" s="1675">
        <v>2071430084</v>
      </c>
    </row>
    <row r="29" spans="1:5" ht="16.5" x14ac:dyDescent="0.25">
      <c r="A29" s="212" t="s">
        <v>146</v>
      </c>
      <c r="B29" s="96" t="s">
        <v>89</v>
      </c>
      <c r="C29" s="132"/>
      <c r="D29" s="1676">
        <v>39741411</v>
      </c>
      <c r="E29" s="1677">
        <v>20103478</v>
      </c>
    </row>
    <row r="30" spans="1:5" ht="33" x14ac:dyDescent="0.25">
      <c r="A30" s="213" t="s">
        <v>147</v>
      </c>
      <c r="B30" s="383" t="s">
        <v>249</v>
      </c>
      <c r="C30" s="152"/>
      <c r="D30" s="1678" t="s">
        <v>5</v>
      </c>
      <c r="E30" s="1679" t="s">
        <v>5</v>
      </c>
    </row>
    <row r="31" spans="1:5" ht="16.5" x14ac:dyDescent="0.25">
      <c r="A31" s="282" t="s">
        <v>207</v>
      </c>
      <c r="B31" s="116" t="s">
        <v>102</v>
      </c>
      <c r="C31" s="302"/>
      <c r="D31" s="1680">
        <v>1889467665</v>
      </c>
      <c r="E31" s="1681">
        <v>1451374519</v>
      </c>
    </row>
    <row r="32" spans="1:5" ht="33" x14ac:dyDescent="0.25">
      <c r="A32" s="111" t="s">
        <v>97</v>
      </c>
      <c r="B32" s="189" t="s">
        <v>123</v>
      </c>
      <c r="C32" s="298"/>
      <c r="D32" s="1682" t="s">
        <v>5</v>
      </c>
      <c r="E32" s="1683" t="s">
        <v>5</v>
      </c>
    </row>
    <row r="33" spans="1:5" ht="33" x14ac:dyDescent="0.25">
      <c r="A33" s="214" t="s">
        <v>148</v>
      </c>
      <c r="B33" s="384" t="s">
        <v>250</v>
      </c>
      <c r="C33" s="153"/>
      <c r="D33" s="1684" t="s">
        <v>5</v>
      </c>
      <c r="E33" s="1685" t="s">
        <v>5</v>
      </c>
    </row>
    <row r="34" spans="1:5" ht="33" x14ac:dyDescent="0.25">
      <c r="A34" s="202" t="s">
        <v>136</v>
      </c>
      <c r="B34" s="281" t="s">
        <v>206</v>
      </c>
      <c r="C34" s="154"/>
      <c r="D34" s="1686">
        <v>599952087</v>
      </c>
      <c r="E34" s="1687">
        <v>599952087</v>
      </c>
    </row>
    <row r="35" spans="1:5" ht="16.5" x14ac:dyDescent="0.25">
      <c r="A35" s="215" t="s">
        <v>149</v>
      </c>
      <c r="B35" s="385" t="s">
        <v>251</v>
      </c>
      <c r="C35" s="155"/>
      <c r="D35" s="1688" t="s">
        <v>5</v>
      </c>
      <c r="E35" s="1689" t="s">
        <v>5</v>
      </c>
    </row>
    <row r="36" spans="1:5" ht="33" x14ac:dyDescent="0.25">
      <c r="A36" s="203" t="s">
        <v>137</v>
      </c>
      <c r="B36" s="97" t="s">
        <v>90</v>
      </c>
      <c r="C36" s="156"/>
      <c r="D36" s="1690" t="s">
        <v>5</v>
      </c>
      <c r="E36" s="1691" t="s">
        <v>5</v>
      </c>
    </row>
    <row r="37" spans="1:5" ht="33" x14ac:dyDescent="0.25">
      <c r="A37" s="283" t="s">
        <v>208</v>
      </c>
      <c r="B37" s="117" t="s">
        <v>103</v>
      </c>
      <c r="C37" s="304"/>
      <c r="D37" s="1692" t="s">
        <v>5</v>
      </c>
      <c r="E37" s="1693" t="s">
        <v>5</v>
      </c>
    </row>
    <row r="38" spans="1:5" ht="49.5" x14ac:dyDescent="0.25">
      <c r="A38" s="236" t="s">
        <v>168</v>
      </c>
      <c r="B38" s="98" t="s">
        <v>91</v>
      </c>
      <c r="C38" s="140"/>
      <c r="D38" s="1694">
        <v>45373449114</v>
      </c>
      <c r="E38" s="1695">
        <v>49460780740</v>
      </c>
    </row>
    <row r="39" spans="1:5" ht="16.5" x14ac:dyDescent="0.25">
      <c r="A39" s="204" t="s">
        <v>138</v>
      </c>
      <c r="B39" s="99" t="s">
        <v>92</v>
      </c>
      <c r="C39" s="254"/>
      <c r="D39" s="1696" t="s">
        <v>5</v>
      </c>
      <c r="E39" s="1697" t="s">
        <v>5</v>
      </c>
    </row>
    <row r="40" spans="1:5" ht="16.5" x14ac:dyDescent="0.25">
      <c r="A40" s="285" t="s">
        <v>210</v>
      </c>
      <c r="B40" s="118" t="s">
        <v>104</v>
      </c>
      <c r="C40" s="305"/>
      <c r="D40" s="1698" t="s">
        <v>5</v>
      </c>
      <c r="E40" s="1699" t="s">
        <v>5</v>
      </c>
    </row>
    <row r="41" spans="1:5" ht="16.5" x14ac:dyDescent="0.25">
      <c r="A41" s="205" t="s">
        <v>139</v>
      </c>
      <c r="B41" s="124" t="s">
        <v>110</v>
      </c>
      <c r="C41" s="157"/>
      <c r="D41" s="1700" t="s">
        <v>5</v>
      </c>
      <c r="E41" s="1701" t="s">
        <v>5</v>
      </c>
    </row>
    <row r="42" spans="1:5" ht="33" x14ac:dyDescent="0.25">
      <c r="A42" s="284" t="s">
        <v>209</v>
      </c>
      <c r="B42" s="414" t="s">
        <v>279</v>
      </c>
      <c r="C42" s="333"/>
      <c r="D42" s="1702" t="s">
        <v>5</v>
      </c>
      <c r="E42" s="1703" t="s">
        <v>5</v>
      </c>
    </row>
    <row r="43" spans="1:5" ht="16.5" x14ac:dyDescent="0.25">
      <c r="A43" s="216" t="s">
        <v>150</v>
      </c>
      <c r="B43" s="415" t="s">
        <v>280</v>
      </c>
      <c r="C43" s="158"/>
      <c r="D43" s="1704" t="s">
        <v>5</v>
      </c>
      <c r="E43" s="1705" t="s">
        <v>5</v>
      </c>
    </row>
    <row r="44" spans="1:5" ht="33" x14ac:dyDescent="0.25">
      <c r="A44" s="237" t="s">
        <v>169</v>
      </c>
      <c r="B44" s="267" t="s">
        <v>194</v>
      </c>
      <c r="C44" s="141"/>
      <c r="D44" s="1706" t="s">
        <v>5</v>
      </c>
      <c r="E44" s="1707" t="s">
        <v>5</v>
      </c>
    </row>
    <row r="45" spans="1:5" ht="16.5" x14ac:dyDescent="0.25">
      <c r="A45" s="101" t="s">
        <v>94</v>
      </c>
      <c r="B45" s="386" t="s">
        <v>252</v>
      </c>
      <c r="C45" s="334"/>
      <c r="D45" s="1708" t="s">
        <v>5</v>
      </c>
      <c r="E45" s="1709" t="s">
        <v>5</v>
      </c>
    </row>
    <row r="46" spans="1:5" ht="33" x14ac:dyDescent="0.25">
      <c r="A46" s="271" t="s">
        <v>196</v>
      </c>
      <c r="B46" s="190" t="s">
        <v>124</v>
      </c>
      <c r="C46" s="335"/>
      <c r="D46" s="1710" t="s">
        <v>5</v>
      </c>
      <c r="E46" s="1711" t="s">
        <v>5</v>
      </c>
    </row>
    <row r="47" spans="1:5" ht="16.5" x14ac:dyDescent="0.25">
      <c r="A47" s="272" t="s">
        <v>197</v>
      </c>
      <c r="B47" s="430" t="s">
        <v>294</v>
      </c>
      <c r="C47" s="337"/>
      <c r="D47" s="1712">
        <v>18096777601</v>
      </c>
      <c r="E47" s="1713">
        <v>22204398044</v>
      </c>
    </row>
    <row r="48" spans="1:5" ht="16.5" x14ac:dyDescent="0.25">
      <c r="A48" s="206" t="s">
        <v>140</v>
      </c>
      <c r="B48" s="90" t="s">
        <v>83</v>
      </c>
      <c r="C48" s="159"/>
      <c r="D48" s="1714">
        <v>12197557837</v>
      </c>
      <c r="E48" s="1715">
        <v>15475885635</v>
      </c>
    </row>
    <row r="49" spans="1:5" ht="16.5" x14ac:dyDescent="0.25">
      <c r="A49" s="245" t="s">
        <v>171</v>
      </c>
      <c r="B49" s="431" t="s">
        <v>295</v>
      </c>
      <c r="C49" s="160"/>
      <c r="D49" s="1716">
        <v>39793908991</v>
      </c>
      <c r="E49" s="1717">
        <v>41828931671</v>
      </c>
    </row>
    <row r="50" spans="1:5" ht="16.5" x14ac:dyDescent="0.25">
      <c r="A50" s="217" t="s">
        <v>151</v>
      </c>
      <c r="B50" s="432" t="s">
        <v>296</v>
      </c>
      <c r="C50" s="161"/>
      <c r="D50" s="1718">
        <v>-27596351154</v>
      </c>
      <c r="E50" s="1719">
        <v>-26353046036</v>
      </c>
    </row>
    <row r="51" spans="1:5" ht="33" x14ac:dyDescent="0.25">
      <c r="A51" s="218" t="s">
        <v>152</v>
      </c>
      <c r="B51" s="433" t="s">
        <v>297</v>
      </c>
      <c r="C51" s="162"/>
      <c r="D51" s="1720" t="s">
        <v>5</v>
      </c>
      <c r="E51" s="1721" t="s">
        <v>5</v>
      </c>
    </row>
    <row r="52" spans="1:5" ht="33" x14ac:dyDescent="0.25">
      <c r="A52" s="238" t="s">
        <v>170</v>
      </c>
      <c r="B52" s="434" t="s">
        <v>298</v>
      </c>
      <c r="C52" s="142"/>
      <c r="D52" s="1722" t="s">
        <v>5</v>
      </c>
      <c r="E52" s="1723" t="s">
        <v>5</v>
      </c>
    </row>
    <row r="53" spans="1:5" ht="16.5" x14ac:dyDescent="0.25">
      <c r="A53" s="239" t="s">
        <v>171</v>
      </c>
      <c r="B53" s="119" t="s">
        <v>105</v>
      </c>
      <c r="C53" s="143"/>
      <c r="D53" s="1724" t="s">
        <v>5</v>
      </c>
      <c r="E53" s="1725" t="s">
        <v>5</v>
      </c>
    </row>
    <row r="54" spans="1:5" ht="16.5" x14ac:dyDescent="0.25">
      <c r="A54" s="264" t="s">
        <v>151</v>
      </c>
      <c r="B54" s="36" t="s">
        <v>37</v>
      </c>
      <c r="C54" s="163"/>
      <c r="D54" s="1726" t="s">
        <v>5</v>
      </c>
      <c r="E54" s="1727" t="s">
        <v>5</v>
      </c>
    </row>
    <row r="55" spans="1:5" ht="33" x14ac:dyDescent="0.25">
      <c r="A55" s="240" t="s">
        <v>172</v>
      </c>
      <c r="B55" s="387" t="s">
        <v>253</v>
      </c>
      <c r="C55" s="144"/>
      <c r="D55" s="1728" t="s">
        <v>5</v>
      </c>
      <c r="E55" s="1729" t="s">
        <v>5</v>
      </c>
    </row>
    <row r="56" spans="1:5" ht="16.5" x14ac:dyDescent="0.25">
      <c r="A56" s="241" t="s">
        <v>173</v>
      </c>
      <c r="B56" s="416" t="s">
        <v>281</v>
      </c>
      <c r="C56" s="145"/>
      <c r="D56" s="1730">
        <v>5899219764</v>
      </c>
      <c r="E56" s="1731">
        <v>6728512409</v>
      </c>
    </row>
    <row r="57" spans="1:5" ht="16.5" x14ac:dyDescent="0.25">
      <c r="A57" s="242" t="s">
        <v>174</v>
      </c>
      <c r="B57" s="37" t="s">
        <v>38</v>
      </c>
      <c r="C57" s="146"/>
      <c r="D57" s="1732">
        <v>25385008497</v>
      </c>
      <c r="E57" s="1733">
        <v>25385008497</v>
      </c>
    </row>
    <row r="58" spans="1:5" ht="16.5" x14ac:dyDescent="0.25">
      <c r="A58" s="425" t="s">
        <v>153</v>
      </c>
      <c r="B58" s="388" t="s">
        <v>254</v>
      </c>
      <c r="C58" s="164"/>
      <c r="D58" s="1734">
        <v>-19485788733</v>
      </c>
      <c r="E58" s="1735">
        <v>-18656496088</v>
      </c>
    </row>
    <row r="59" spans="1:5" ht="33" x14ac:dyDescent="0.25">
      <c r="A59" s="246" t="s">
        <v>176</v>
      </c>
      <c r="B59" s="53" t="s">
        <v>46</v>
      </c>
      <c r="C59" s="165"/>
      <c r="D59" s="1736" t="s">
        <v>5</v>
      </c>
      <c r="E59" s="1737" t="s">
        <v>5</v>
      </c>
    </row>
    <row r="60" spans="1:5" ht="16.5" x14ac:dyDescent="0.25">
      <c r="A60" s="273" t="s">
        <v>198</v>
      </c>
      <c r="B60" s="54" t="s">
        <v>47</v>
      </c>
      <c r="C60" s="338"/>
      <c r="D60" s="1738" t="s">
        <v>5</v>
      </c>
      <c r="E60" s="1739" t="s">
        <v>5</v>
      </c>
    </row>
    <row r="61" spans="1:5" ht="16.5" x14ac:dyDescent="0.25">
      <c r="A61" s="243" t="s">
        <v>174</v>
      </c>
      <c r="B61" s="389" t="s">
        <v>255</v>
      </c>
      <c r="C61" s="147"/>
      <c r="D61" s="1740" t="s">
        <v>5</v>
      </c>
      <c r="E61" s="1741" t="s">
        <v>5</v>
      </c>
    </row>
    <row r="62" spans="1:5" ht="16.5" x14ac:dyDescent="0.25">
      <c r="A62" s="219" t="s">
        <v>153</v>
      </c>
      <c r="B62" s="55" t="s">
        <v>48</v>
      </c>
      <c r="C62" s="166"/>
      <c r="D62" s="1742" t="s">
        <v>5</v>
      </c>
      <c r="E62" s="1743" t="s">
        <v>5</v>
      </c>
    </row>
    <row r="63" spans="1:5" ht="33" x14ac:dyDescent="0.25">
      <c r="A63" s="274" t="s">
        <v>199</v>
      </c>
      <c r="B63" s="390" t="s">
        <v>256</v>
      </c>
      <c r="C63" s="339"/>
      <c r="D63" s="1744" t="s">
        <v>5</v>
      </c>
      <c r="E63" s="1745" t="s">
        <v>5</v>
      </c>
    </row>
    <row r="64" spans="1:5" ht="33" x14ac:dyDescent="0.25">
      <c r="A64" s="244" t="s">
        <v>175</v>
      </c>
      <c r="B64" s="120" t="s">
        <v>106</v>
      </c>
      <c r="C64" s="148"/>
      <c r="D64" s="1746" t="s">
        <v>5</v>
      </c>
      <c r="E64" s="1747" t="s">
        <v>5</v>
      </c>
    </row>
    <row r="65" spans="1:5" ht="16.5" x14ac:dyDescent="0.25">
      <c r="A65" s="275" t="s">
        <v>200</v>
      </c>
      <c r="B65" s="417" t="s">
        <v>282</v>
      </c>
      <c r="C65" s="340"/>
      <c r="D65" s="1748">
        <v>27276671513</v>
      </c>
      <c r="E65" s="1749">
        <v>27256382696</v>
      </c>
    </row>
    <row r="66" spans="1:5" ht="33" x14ac:dyDescent="0.25">
      <c r="A66" s="184" t="s">
        <v>118</v>
      </c>
      <c r="B66" s="56" t="s">
        <v>49</v>
      </c>
      <c r="C66" s="149"/>
      <c r="D66" s="1750">
        <v>2530039400</v>
      </c>
      <c r="E66" s="1751">
        <v>2545039400</v>
      </c>
    </row>
    <row r="67" spans="1:5" ht="16.5" x14ac:dyDescent="0.25">
      <c r="A67" s="223" t="s">
        <v>155</v>
      </c>
      <c r="B67" s="391" t="s">
        <v>257</v>
      </c>
      <c r="C67" s="167"/>
      <c r="D67" s="1752">
        <v>4746632113</v>
      </c>
      <c r="E67" s="1753">
        <v>3847240756</v>
      </c>
    </row>
    <row r="68" spans="1:5" ht="33" x14ac:dyDescent="0.25">
      <c r="A68" s="256" t="s">
        <v>184</v>
      </c>
      <c r="B68" s="57" t="s">
        <v>50</v>
      </c>
      <c r="C68" s="168"/>
      <c r="D68" s="1754" t="s">
        <v>5</v>
      </c>
      <c r="E68" s="1755" t="s">
        <v>5</v>
      </c>
    </row>
    <row r="69" spans="1:5" ht="33" x14ac:dyDescent="0.25">
      <c r="A69" s="224" t="s">
        <v>156</v>
      </c>
      <c r="B69" s="58" t="s">
        <v>51</v>
      </c>
      <c r="C69" s="169"/>
      <c r="D69" s="1756">
        <v>20000000000</v>
      </c>
      <c r="E69" s="1757">
        <v>20864102540</v>
      </c>
    </row>
    <row r="70" spans="1:5" ht="16.5" x14ac:dyDescent="0.25">
      <c r="A70" s="247" t="s">
        <v>177</v>
      </c>
      <c r="B70" s="418" t="s">
        <v>283</v>
      </c>
      <c r="C70" s="170"/>
      <c r="D70" s="1758" t="s">
        <v>5</v>
      </c>
      <c r="E70" s="1759" t="s">
        <v>5</v>
      </c>
    </row>
    <row r="71" spans="1:5" ht="33" x14ac:dyDescent="0.25">
      <c r="A71" s="276" t="s">
        <v>201</v>
      </c>
      <c r="B71" s="59" t="s">
        <v>52</v>
      </c>
      <c r="C71" s="341"/>
      <c r="D71" s="1760" t="s">
        <v>5</v>
      </c>
      <c r="E71" s="1761" t="s">
        <v>5</v>
      </c>
    </row>
    <row r="72" spans="1:5" ht="16.5" x14ac:dyDescent="0.25">
      <c r="A72" s="130" t="s">
        <v>116</v>
      </c>
      <c r="B72" s="270"/>
      <c r="C72" s="221"/>
      <c r="D72" s="1762" t="s">
        <v>5</v>
      </c>
      <c r="E72" s="1763" t="s">
        <v>5</v>
      </c>
    </row>
    <row r="73" spans="1:5" ht="16.5" x14ac:dyDescent="0.25">
      <c r="A73" s="225" t="s">
        <v>157</v>
      </c>
      <c r="B73" s="392" t="s">
        <v>258</v>
      </c>
      <c r="C73" s="171"/>
      <c r="D73" s="1764">
        <v>2307972743690</v>
      </c>
      <c r="E73" s="1765">
        <v>2347548503165</v>
      </c>
    </row>
    <row r="74" spans="1:5" ht="16.5" x14ac:dyDescent="0.25">
      <c r="A74" s="226" t="s">
        <v>158</v>
      </c>
      <c r="B74" s="393" t="s">
        <v>259</v>
      </c>
      <c r="C74" s="172"/>
      <c r="D74" s="1766">
        <v>291833682150</v>
      </c>
      <c r="E74" s="1767">
        <v>368757033120</v>
      </c>
    </row>
    <row r="75" spans="1:5" ht="16.5" x14ac:dyDescent="0.25">
      <c r="A75" s="257" t="s">
        <v>185</v>
      </c>
      <c r="B75" s="60" t="s">
        <v>53</v>
      </c>
      <c r="C75" s="173"/>
      <c r="D75" s="1768">
        <v>278384016731</v>
      </c>
      <c r="E75" s="1769">
        <v>364155122113</v>
      </c>
    </row>
    <row r="76" spans="1:5" ht="33" x14ac:dyDescent="0.25">
      <c r="A76" s="277" t="s">
        <v>202</v>
      </c>
      <c r="B76" s="394" t="s">
        <v>260</v>
      </c>
      <c r="C76" s="342"/>
      <c r="D76" s="1770">
        <v>260310278020</v>
      </c>
      <c r="E76" s="1771">
        <v>310305633500</v>
      </c>
    </row>
    <row r="77" spans="1:5" ht="16.5" x14ac:dyDescent="0.25">
      <c r="A77" s="258" t="s">
        <v>186</v>
      </c>
      <c r="B77" s="61" t="s">
        <v>54</v>
      </c>
      <c r="C77" s="174"/>
      <c r="D77" s="1772">
        <v>260310278020</v>
      </c>
      <c r="E77" s="1773">
        <v>310305633500</v>
      </c>
    </row>
    <row r="78" spans="1:5" ht="33" x14ac:dyDescent="0.25">
      <c r="A78" s="251" t="s">
        <v>181</v>
      </c>
      <c r="B78" s="395" t="s">
        <v>261</v>
      </c>
      <c r="C78" s="175"/>
      <c r="D78" s="1774" t="s">
        <v>5</v>
      </c>
      <c r="E78" s="1775" t="s">
        <v>5</v>
      </c>
    </row>
    <row r="79" spans="1:5" ht="33" x14ac:dyDescent="0.25">
      <c r="A79" s="52" t="s">
        <v>45</v>
      </c>
      <c r="B79" s="396" t="s">
        <v>262</v>
      </c>
      <c r="C79" s="176"/>
      <c r="D79" s="1776" t="s">
        <v>5</v>
      </c>
      <c r="E79" s="1777" t="s">
        <v>5</v>
      </c>
    </row>
    <row r="80" spans="1:5" ht="33" x14ac:dyDescent="0.25">
      <c r="A80" s="67" t="s">
        <v>60</v>
      </c>
      <c r="B80" s="191" t="s">
        <v>125</v>
      </c>
      <c r="C80" s="355"/>
      <c r="D80" s="1778" t="s">
        <v>5</v>
      </c>
      <c r="E80" s="1779" t="s">
        <v>5</v>
      </c>
    </row>
    <row r="81" spans="1:5" ht="33" x14ac:dyDescent="0.25">
      <c r="A81" s="68" t="s">
        <v>61</v>
      </c>
      <c r="B81" s="397" t="s">
        <v>263</v>
      </c>
      <c r="C81" s="330"/>
      <c r="D81" s="1780" t="s">
        <v>5</v>
      </c>
      <c r="E81" s="1781" t="s">
        <v>5</v>
      </c>
    </row>
    <row r="82" spans="1:5" ht="16.5" x14ac:dyDescent="0.25">
      <c r="A82" s="69" t="s">
        <v>62</v>
      </c>
      <c r="B82" s="192" t="s">
        <v>126</v>
      </c>
      <c r="C82" s="331"/>
      <c r="D82" s="1782" t="s">
        <v>5</v>
      </c>
      <c r="E82" s="1783" t="s">
        <v>5</v>
      </c>
    </row>
    <row r="83" spans="1:5" ht="33" x14ac:dyDescent="0.25">
      <c r="A83" s="70" t="s">
        <v>63</v>
      </c>
      <c r="B83" s="62" t="s">
        <v>55</v>
      </c>
      <c r="C83" s="177"/>
      <c r="D83" s="1784">
        <v>144035591</v>
      </c>
      <c r="E83" s="1785">
        <v>264199776</v>
      </c>
    </row>
    <row r="84" spans="1:5" ht="33" x14ac:dyDescent="0.25">
      <c r="A84" s="265" t="s">
        <v>192</v>
      </c>
      <c r="B84" s="63" t="s">
        <v>56</v>
      </c>
      <c r="C84" s="178"/>
      <c r="D84" s="1786" t="s">
        <v>5</v>
      </c>
      <c r="E84" s="1787" t="s">
        <v>5</v>
      </c>
    </row>
    <row r="85" spans="1:5" ht="16.5" x14ac:dyDescent="0.25">
      <c r="A85" s="266" t="s">
        <v>193</v>
      </c>
      <c r="B85" s="64" t="s">
        <v>57</v>
      </c>
      <c r="C85" s="179"/>
      <c r="D85" s="1788">
        <v>1072323698</v>
      </c>
      <c r="E85" s="1789">
        <v>29715693552</v>
      </c>
    </row>
    <row r="86" spans="1:5" ht="33" x14ac:dyDescent="0.25">
      <c r="A86" s="289" t="s">
        <v>214</v>
      </c>
      <c r="B86" s="398" t="s">
        <v>264</v>
      </c>
      <c r="C86" s="180"/>
      <c r="D86" s="1790">
        <v>840500000</v>
      </c>
      <c r="E86" s="1791">
        <v>957900000</v>
      </c>
    </row>
    <row r="87" spans="1:5" ht="33" x14ac:dyDescent="0.25">
      <c r="A87" s="287" t="s">
        <v>212</v>
      </c>
      <c r="B87" s="65" t="s">
        <v>58</v>
      </c>
      <c r="C87" s="181"/>
      <c r="D87" s="1792">
        <v>1072364873</v>
      </c>
      <c r="E87" s="1793">
        <v>1076842851</v>
      </c>
    </row>
    <row r="88" spans="1:5" ht="16.5" x14ac:dyDescent="0.25">
      <c r="A88" s="288" t="s">
        <v>213</v>
      </c>
      <c r="B88" s="66" t="s">
        <v>59</v>
      </c>
      <c r="C88" s="182"/>
      <c r="D88" s="1794">
        <v>340124863</v>
      </c>
      <c r="E88" s="1795">
        <v>0</v>
      </c>
    </row>
    <row r="89" spans="1:5" ht="33" x14ac:dyDescent="0.25">
      <c r="A89" s="290" t="s">
        <v>215</v>
      </c>
      <c r="B89" s="71" t="s">
        <v>64</v>
      </c>
      <c r="C89" s="255"/>
      <c r="D89" s="1796">
        <v>231220823</v>
      </c>
      <c r="E89" s="1797">
        <v>432422323</v>
      </c>
    </row>
    <row r="90" spans="1:5" ht="16.5" x14ac:dyDescent="0.25">
      <c r="A90" s="291" t="s">
        <v>216</v>
      </c>
      <c r="B90" s="72" t="s">
        <v>65</v>
      </c>
      <c r="C90" s="38"/>
      <c r="D90" s="1798">
        <v>6317825280</v>
      </c>
      <c r="E90" s="1799">
        <v>12393562713</v>
      </c>
    </row>
    <row r="91" spans="1:5" ht="16.5" x14ac:dyDescent="0.25">
      <c r="A91" s="292" t="s">
        <v>217</v>
      </c>
      <c r="B91" s="399" t="s">
        <v>265</v>
      </c>
      <c r="C91" s="39"/>
      <c r="D91" s="1800" t="s">
        <v>5</v>
      </c>
      <c r="E91" s="1801" t="s">
        <v>5</v>
      </c>
    </row>
    <row r="92" spans="1:5" ht="33" x14ac:dyDescent="0.25">
      <c r="A92" s="125" t="s">
        <v>111</v>
      </c>
      <c r="B92" s="73" t="s">
        <v>66</v>
      </c>
      <c r="C92" s="150"/>
      <c r="D92" s="1802" t="s">
        <v>5</v>
      </c>
      <c r="E92" s="1803" t="s">
        <v>5</v>
      </c>
    </row>
    <row r="93" spans="1:5" ht="33" x14ac:dyDescent="0.25">
      <c r="A93" s="126" t="s">
        <v>112</v>
      </c>
      <c r="B93" s="121" t="s">
        <v>107</v>
      </c>
      <c r="C93" s="151"/>
      <c r="D93" s="1804" t="s">
        <v>5</v>
      </c>
      <c r="E93" s="1805" t="s">
        <v>5</v>
      </c>
    </row>
    <row r="94" spans="1:5" ht="33" x14ac:dyDescent="0.25">
      <c r="A94" s="259" t="s">
        <v>187</v>
      </c>
      <c r="B94" s="74" t="s">
        <v>67</v>
      </c>
      <c r="C94" s="40"/>
      <c r="D94" s="1806">
        <v>1329149384</v>
      </c>
      <c r="E94" s="1807">
        <v>1363619222</v>
      </c>
    </row>
    <row r="95" spans="1:5" ht="33" x14ac:dyDescent="0.25">
      <c r="A95" s="293" t="s">
        <v>218</v>
      </c>
      <c r="B95" s="122" t="s">
        <v>108</v>
      </c>
      <c r="C95" s="306"/>
      <c r="D95" s="1808" t="s">
        <v>5</v>
      </c>
      <c r="E95" s="1809" t="s">
        <v>5</v>
      </c>
    </row>
    <row r="96" spans="1:5" ht="16.5" x14ac:dyDescent="0.25">
      <c r="A96" s="127" t="s">
        <v>113</v>
      </c>
      <c r="B96" s="400" t="s">
        <v>266</v>
      </c>
      <c r="C96" s="183"/>
      <c r="D96" s="1810">
        <v>6726194199</v>
      </c>
      <c r="E96" s="1811">
        <v>7645248176</v>
      </c>
    </row>
    <row r="97" spans="1:5" ht="33" x14ac:dyDescent="0.25">
      <c r="A97" s="294" t="s">
        <v>219</v>
      </c>
      <c r="B97" s="428" t="s">
        <v>292</v>
      </c>
      <c r="C97" s="307"/>
      <c r="D97" s="1812" t="s">
        <v>5</v>
      </c>
      <c r="E97" s="1813" t="s">
        <v>5</v>
      </c>
    </row>
    <row r="98" spans="1:5" ht="16.5" x14ac:dyDescent="0.25">
      <c r="A98" s="366" t="s">
        <v>232</v>
      </c>
      <c r="B98" s="401" t="s">
        <v>267</v>
      </c>
      <c r="C98" s="41"/>
      <c r="D98" s="1814">
        <v>13449665419</v>
      </c>
      <c r="E98" s="1815">
        <v>4601911007</v>
      </c>
    </row>
    <row r="99" spans="1:5" ht="33" x14ac:dyDescent="0.25">
      <c r="A99" s="367" t="s">
        <v>233</v>
      </c>
      <c r="B99" s="193" t="s">
        <v>127</v>
      </c>
      <c r="C99" s="42"/>
      <c r="D99" s="1816" t="s">
        <v>5</v>
      </c>
      <c r="E99" s="1817" t="s">
        <v>5</v>
      </c>
    </row>
    <row r="100" spans="1:5" ht="16.5" x14ac:dyDescent="0.25">
      <c r="A100" s="261" t="s">
        <v>189</v>
      </c>
      <c r="B100" s="75" t="s">
        <v>68</v>
      </c>
      <c r="C100" s="43"/>
      <c r="D100" s="1818" t="s">
        <v>5</v>
      </c>
      <c r="E100" s="1819" t="s">
        <v>5</v>
      </c>
    </row>
    <row r="101" spans="1:5" ht="16.5" x14ac:dyDescent="0.25">
      <c r="A101" s="295" t="s">
        <v>220</v>
      </c>
      <c r="B101" s="77" t="s">
        <v>70</v>
      </c>
      <c r="C101" s="364"/>
      <c r="D101" s="1820" t="s">
        <v>5</v>
      </c>
      <c r="E101" s="1821" t="s">
        <v>5</v>
      </c>
    </row>
    <row r="102" spans="1:5" ht="16.5" x14ac:dyDescent="0.25">
      <c r="A102" s="296" t="s">
        <v>221</v>
      </c>
      <c r="B102" s="429" t="s">
        <v>293</v>
      </c>
      <c r="C102" s="308"/>
      <c r="D102" s="1822" t="s">
        <v>5</v>
      </c>
      <c r="E102" s="1823" t="s">
        <v>5</v>
      </c>
    </row>
    <row r="103" spans="1:5" ht="33" x14ac:dyDescent="0.25">
      <c r="A103" s="128" t="s">
        <v>114</v>
      </c>
      <c r="B103" s="402" t="s">
        <v>268</v>
      </c>
      <c r="C103" s="102"/>
      <c r="D103" s="1824" t="s">
        <v>5</v>
      </c>
      <c r="E103" s="1825" t="s">
        <v>5</v>
      </c>
    </row>
    <row r="104" spans="1:5" ht="16.5" x14ac:dyDescent="0.25">
      <c r="A104" s="368" t="s">
        <v>234</v>
      </c>
      <c r="B104" s="78" t="s">
        <v>71</v>
      </c>
      <c r="C104" s="44"/>
      <c r="D104" s="1826" t="s">
        <v>5</v>
      </c>
      <c r="E104" s="1827" t="s">
        <v>5</v>
      </c>
    </row>
    <row r="105" spans="1:5" ht="16.5" x14ac:dyDescent="0.25">
      <c r="A105" s="369" t="s">
        <v>235</v>
      </c>
      <c r="B105" s="403" t="s">
        <v>269</v>
      </c>
      <c r="C105" s="45"/>
      <c r="D105" s="1828" t="s">
        <v>5</v>
      </c>
      <c r="E105" s="1829" t="s">
        <v>5</v>
      </c>
    </row>
    <row r="106" spans="1:5" ht="33" x14ac:dyDescent="0.25">
      <c r="A106" s="262" t="s">
        <v>190</v>
      </c>
      <c r="B106" s="79" t="s">
        <v>72</v>
      </c>
      <c r="C106" s="363"/>
      <c r="D106" s="1830" t="s">
        <v>5</v>
      </c>
      <c r="E106" s="1831" t="s">
        <v>5</v>
      </c>
    </row>
    <row r="107" spans="1:5" ht="16.5" x14ac:dyDescent="0.25">
      <c r="A107" s="227" t="s">
        <v>159</v>
      </c>
      <c r="B107" s="404" t="s">
        <v>270</v>
      </c>
      <c r="C107" s="413"/>
      <c r="D107" s="1832" t="s">
        <v>5</v>
      </c>
      <c r="E107" s="1833" t="s">
        <v>5</v>
      </c>
    </row>
    <row r="108" spans="1:5" ht="16.5" x14ac:dyDescent="0.25">
      <c r="A108" s="420" t="s">
        <v>285</v>
      </c>
      <c r="B108" s="405" t="s">
        <v>271</v>
      </c>
      <c r="C108" s="103"/>
      <c r="D108" s="1834" t="s">
        <v>5</v>
      </c>
      <c r="E108" s="1835" t="s">
        <v>5</v>
      </c>
    </row>
    <row r="109" spans="1:5" ht="33" x14ac:dyDescent="0.25">
      <c r="A109" s="370" t="s">
        <v>236</v>
      </c>
      <c r="B109" s="80" t="s">
        <v>73</v>
      </c>
      <c r="C109" s="310"/>
      <c r="D109" s="1836" t="s">
        <v>5</v>
      </c>
      <c r="E109" s="1837" t="s">
        <v>5</v>
      </c>
    </row>
    <row r="110" spans="1:5" ht="33" x14ac:dyDescent="0.25">
      <c r="A110" s="371" t="s">
        <v>237</v>
      </c>
      <c r="B110" s="406" t="s">
        <v>272</v>
      </c>
      <c r="C110" s="311"/>
      <c r="D110" s="1838" t="s">
        <v>5</v>
      </c>
      <c r="E110" s="1839" t="s">
        <v>5</v>
      </c>
    </row>
    <row r="111" spans="1:5" ht="33" x14ac:dyDescent="0.25">
      <c r="A111" s="263" t="s">
        <v>191</v>
      </c>
      <c r="B111" s="407" t="s">
        <v>273</v>
      </c>
      <c r="C111" s="312"/>
      <c r="D111" s="1840" t="s">
        <v>5</v>
      </c>
      <c r="E111" s="1841" t="s">
        <v>5</v>
      </c>
    </row>
    <row r="112" spans="1:5" ht="16.5" x14ac:dyDescent="0.25">
      <c r="A112" s="423" t="s">
        <v>288</v>
      </c>
      <c r="B112" s="81" t="s">
        <v>74</v>
      </c>
      <c r="C112" s="313"/>
      <c r="D112" s="1842" t="s">
        <v>5</v>
      </c>
      <c r="E112" s="1843" t="s">
        <v>5</v>
      </c>
    </row>
    <row r="113" spans="1:5" ht="16.5" x14ac:dyDescent="0.25">
      <c r="A113" s="76" t="s">
        <v>69</v>
      </c>
      <c r="B113" s="408" t="s">
        <v>274</v>
      </c>
      <c r="C113" s="314"/>
      <c r="D113" s="1844" t="s">
        <v>5</v>
      </c>
      <c r="E113" s="1845" t="s">
        <v>5</v>
      </c>
    </row>
    <row r="114" spans="1:5" ht="33" x14ac:dyDescent="0.25">
      <c r="A114" s="421" t="s">
        <v>286</v>
      </c>
      <c r="B114" s="82" t="s">
        <v>75</v>
      </c>
      <c r="C114" s="104"/>
      <c r="D114" s="1846">
        <v>13449665419</v>
      </c>
      <c r="E114" s="1847">
        <v>4601911007</v>
      </c>
    </row>
    <row r="115" spans="1:5" ht="33" x14ac:dyDescent="0.25">
      <c r="A115" s="372" t="s">
        <v>238</v>
      </c>
      <c r="B115" s="194" t="s">
        <v>128</v>
      </c>
      <c r="C115" s="315"/>
      <c r="D115" s="1848" t="s">
        <v>5</v>
      </c>
      <c r="E115" s="1849" t="s">
        <v>5</v>
      </c>
    </row>
    <row r="116" spans="1:5" ht="16.5" x14ac:dyDescent="0.25">
      <c r="A116" s="131" t="s">
        <v>117</v>
      </c>
      <c r="B116" s="34" t="s">
        <v>5</v>
      </c>
      <c r="C116" s="222"/>
      <c r="D116" s="1850" t="s">
        <v>5</v>
      </c>
      <c r="E116" s="1851" t="s">
        <v>5</v>
      </c>
    </row>
    <row r="117" spans="1:5" ht="16.5" x14ac:dyDescent="0.25">
      <c r="A117" s="297" t="s">
        <v>222</v>
      </c>
      <c r="B117" s="409" t="s">
        <v>275</v>
      </c>
      <c r="C117" s="316"/>
      <c r="D117" s="1852">
        <v>2016139061540</v>
      </c>
      <c r="E117" s="1853">
        <v>1978791470045</v>
      </c>
    </row>
    <row r="118" spans="1:5" ht="16.5" x14ac:dyDescent="0.25">
      <c r="A118" s="356" t="s">
        <v>225</v>
      </c>
      <c r="B118" s="83" t="s">
        <v>76</v>
      </c>
      <c r="C118" s="317"/>
      <c r="D118" s="1854">
        <v>2016139061540</v>
      </c>
      <c r="E118" s="1855">
        <v>1978791470045</v>
      </c>
    </row>
    <row r="119" spans="1:5" ht="16.5" x14ac:dyDescent="0.25">
      <c r="A119" s="422" t="s">
        <v>287</v>
      </c>
      <c r="B119" s="84" t="s">
        <v>77</v>
      </c>
      <c r="C119" s="105"/>
      <c r="D119" s="1856">
        <v>1648006180000</v>
      </c>
      <c r="E119" s="1857">
        <v>1648006180000</v>
      </c>
    </row>
    <row r="120" spans="1:5" ht="16.5" x14ac:dyDescent="0.25">
      <c r="A120" s="373" t="s">
        <v>239</v>
      </c>
      <c r="B120" s="361" t="s">
        <v>230</v>
      </c>
      <c r="C120" s="354"/>
      <c r="D120" s="1858">
        <v>1648006180000</v>
      </c>
      <c r="E120" s="1859">
        <v>1648006180000</v>
      </c>
    </row>
    <row r="121" spans="1:5" ht="33" x14ac:dyDescent="0.25">
      <c r="A121" s="94" t="s">
        <v>87</v>
      </c>
      <c r="B121" s="85" t="s">
        <v>78</v>
      </c>
      <c r="C121" s="106"/>
      <c r="D121" s="1860">
        <v>1648006180000</v>
      </c>
      <c r="E121" s="1861">
        <v>1648006180000</v>
      </c>
    </row>
    <row r="122" spans="1:5" ht="16.5" x14ac:dyDescent="0.25">
      <c r="A122" s="424" t="s">
        <v>289</v>
      </c>
      <c r="B122" s="362" t="s">
        <v>231</v>
      </c>
      <c r="C122" s="309"/>
      <c r="D122" s="1862" t="s">
        <v>5</v>
      </c>
      <c r="E122" s="1863" t="s">
        <v>5</v>
      </c>
    </row>
    <row r="123" spans="1:5" ht="16.5" x14ac:dyDescent="0.25">
      <c r="A123" s="357" t="s">
        <v>226</v>
      </c>
      <c r="B123" s="410" t="s">
        <v>276</v>
      </c>
      <c r="C123" s="318"/>
      <c r="D123" s="1864" t="s">
        <v>5</v>
      </c>
      <c r="E123" s="1865" t="s">
        <v>5</v>
      </c>
    </row>
    <row r="124" spans="1:5" ht="33" x14ac:dyDescent="0.25">
      <c r="A124" s="374" t="s">
        <v>240</v>
      </c>
      <c r="B124" s="86" t="s">
        <v>79</v>
      </c>
      <c r="C124" s="319"/>
      <c r="D124" s="1866" t="s">
        <v>5</v>
      </c>
      <c r="E124" s="1867" t="s">
        <v>5</v>
      </c>
    </row>
    <row r="125" spans="1:5" ht="16.5" x14ac:dyDescent="0.25">
      <c r="A125" s="109" t="s">
        <v>95</v>
      </c>
      <c r="B125" s="100" t="s">
        <v>93</v>
      </c>
      <c r="C125" s="107"/>
      <c r="D125" s="1868" t="s">
        <v>5</v>
      </c>
      <c r="E125" s="1869" t="s">
        <v>5</v>
      </c>
    </row>
    <row r="126" spans="1:5" ht="16.5" x14ac:dyDescent="0.25">
      <c r="A126" s="375" t="s">
        <v>241</v>
      </c>
      <c r="B126" s="411" t="s">
        <v>277</v>
      </c>
      <c r="C126" s="320"/>
      <c r="D126" s="1870" t="s">
        <v>5</v>
      </c>
      <c r="E126" s="1871" t="s">
        <v>5</v>
      </c>
    </row>
    <row r="127" spans="1:5" ht="33" x14ac:dyDescent="0.25">
      <c r="A127" s="358" t="s">
        <v>227</v>
      </c>
      <c r="B127" s="412" t="s">
        <v>278</v>
      </c>
      <c r="C127" s="321"/>
      <c r="D127" s="1872" t="s">
        <v>5</v>
      </c>
      <c r="E127" s="1873" t="s">
        <v>5</v>
      </c>
    </row>
    <row r="128" spans="1:5" ht="16.5" x14ac:dyDescent="0.25">
      <c r="A128" s="426" t="s">
        <v>290</v>
      </c>
      <c r="B128" s="207" t="s">
        <v>141</v>
      </c>
      <c r="C128" s="322"/>
      <c r="D128" s="1874" t="s">
        <v>5</v>
      </c>
      <c r="E128" s="1875" t="s">
        <v>5</v>
      </c>
    </row>
    <row r="129" spans="1:5" ht="33" x14ac:dyDescent="0.25">
      <c r="A129" s="376" t="s">
        <v>242</v>
      </c>
      <c r="B129" s="248" t="s">
        <v>178</v>
      </c>
      <c r="C129" s="323"/>
      <c r="D129" s="1876" t="s">
        <v>5</v>
      </c>
      <c r="E129" s="1877" t="s">
        <v>5</v>
      </c>
    </row>
    <row r="130" spans="1:5" ht="33" x14ac:dyDescent="0.25">
      <c r="A130" s="110" t="s">
        <v>96</v>
      </c>
      <c r="B130" s="208" t="s">
        <v>142</v>
      </c>
      <c r="C130" s="108"/>
      <c r="D130" s="1878" t="s">
        <v>5</v>
      </c>
      <c r="E130" s="1879" t="s">
        <v>5</v>
      </c>
    </row>
    <row r="131" spans="1:5" ht="33" x14ac:dyDescent="0.25">
      <c r="A131" s="359" t="s">
        <v>228</v>
      </c>
      <c r="B131" s="249" t="s">
        <v>179</v>
      </c>
      <c r="C131" s="324"/>
      <c r="D131" s="1880" t="s">
        <v>5</v>
      </c>
      <c r="E131" s="1881" t="s">
        <v>5</v>
      </c>
    </row>
    <row r="132" spans="1:5" ht="16.5" x14ac:dyDescent="0.25">
      <c r="A132" s="377" t="s">
        <v>243</v>
      </c>
      <c r="B132" s="252" t="s">
        <v>182</v>
      </c>
      <c r="C132" s="325"/>
      <c r="D132" s="1882">
        <v>368132881540</v>
      </c>
      <c r="E132" s="1883">
        <v>330785290045</v>
      </c>
    </row>
    <row r="133" spans="1:5" ht="33" x14ac:dyDescent="0.25">
      <c r="A133" s="427" t="s">
        <v>291</v>
      </c>
      <c r="B133" s="250" t="s">
        <v>180</v>
      </c>
      <c r="C133" s="326"/>
      <c r="D133" s="1884">
        <v>204862949894</v>
      </c>
      <c r="E133" s="1885">
        <v>252476574844</v>
      </c>
    </row>
    <row r="134" spans="1:5" ht="16.5" x14ac:dyDescent="0.25">
      <c r="A134" s="378" t="s">
        <v>244</v>
      </c>
      <c r="B134" s="253" t="s">
        <v>183</v>
      </c>
      <c r="C134" s="327"/>
      <c r="D134" s="1886">
        <v>163269931646</v>
      </c>
      <c r="E134" s="1887">
        <v>78308715201</v>
      </c>
    </row>
    <row r="135" spans="1:5" ht="33" x14ac:dyDescent="0.25">
      <c r="A135" s="360" t="s">
        <v>229</v>
      </c>
      <c r="B135" s="419" t="s">
        <v>284</v>
      </c>
      <c r="C135" s="328"/>
      <c r="D135" s="1888" t="s">
        <v>5</v>
      </c>
      <c r="E135" s="1889" t="s">
        <v>5</v>
      </c>
    </row>
    <row r="136" spans="1:5" ht="16.5" x14ac:dyDescent="0.25">
      <c r="A136" s="303" t="s">
        <v>223</v>
      </c>
      <c r="B136" s="46" t="s">
        <v>39</v>
      </c>
      <c r="C136" s="329"/>
      <c r="D136" s="1890" t="s">
        <v>5</v>
      </c>
      <c r="E136" s="1891" t="s">
        <v>5</v>
      </c>
    </row>
    <row r="137" spans="1:5" ht="16.5" x14ac:dyDescent="0.25">
      <c r="A137" s="220" t="s">
        <v>154</v>
      </c>
      <c r="B137" s="269" t="s">
        <v>195</v>
      </c>
      <c r="C137" s="268"/>
      <c r="D137" s="1892">
        <v>2307972743690</v>
      </c>
      <c r="E137" s="1893">
        <v>2347548503165</v>
      </c>
    </row>
  </sheetData>
  <mergeCells count="3">
    <mergeCell ref="A1:E1"/>
    <mergeCell ref="A2:E2"/>
    <mergeCell ref="A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5:E137"/>
  <sheetViews>
    <sheetView workbookViewId="0"/>
  </sheetViews>
  <sheetFormatPr defaultRowHeight="15" x14ac:dyDescent="0.25"/>
  <cols>
    <col min="1" max="1" width="1" style="435" bestFit="1" customWidth="1"/>
    <col min="2" max="5" width="1" bestFit="1" customWidth="1"/>
  </cols>
  <sheetData>
    <row r="5" spans="1:5" x14ac:dyDescent="0.25">
      <c r="A5" t="str">
        <f>CONCATENATE(666258,",",ROW(BCTCR_06608!A5),"|",COLUMN(BCTCR_06608!A5),",0",",0")</f>
        <v>666258,5|1,0,0</v>
      </c>
      <c r="B5" t="str">
        <f>CONCATENATE(666430,",",ROW(BCTCR_06608!B5),"|",COLUMN(BCTCR_06608!B5),",0",",0")</f>
        <v>666430,5|2,0,0</v>
      </c>
      <c r="C5" t="str">
        <f>CONCATENATE(666312,",",ROW(BCTCR_06608!C5),"|",COLUMN(BCTCR_06608!C5),",0",",0")</f>
        <v>666312,5|3,0,0</v>
      </c>
      <c r="D5" t="str">
        <f>CONCATENATE(666766,",",ROW(BCTCR_06608!D5),"|",COLUMN(BCTCR_06608!D5),",0",",0")</f>
        <v>666766,5|4,0,0</v>
      </c>
      <c r="E5" t="str">
        <f>CONCATENATE(666313,",",ROW(BCTCR_06608!E5),"|",COLUMN(BCTCR_06608!E5),",0",",0")</f>
        <v>666313,5|5,0,0</v>
      </c>
    </row>
    <row r="6" spans="1:5" x14ac:dyDescent="0.25">
      <c r="A6" t="str">
        <f>CONCATENATE(666609,",",ROW(BCTCR_06608!A6),"|",COLUMN(BCTCR_06608!A6),",0",",0")</f>
        <v>666609,6|1,0,0</v>
      </c>
      <c r="B6" t="str">
        <f>CONCATENATE(666352,",",ROW(BCTCR_06608!B6),"|",COLUMN(BCTCR_06608!B6),",0",",0")</f>
        <v>666352,6|2,0,0</v>
      </c>
      <c r="C6" t="str">
        <f>CONCATENATE(666445,",",ROW(BCTCR_06608!C6),"|",COLUMN(BCTCR_06608!C6),",0",",0")</f>
        <v>666445,6|3,0,0</v>
      </c>
      <c r="D6" t="str">
        <f>CONCATENATE(666855,",",ROW(BCTCR_06608!D6),"|",COLUMN(BCTCR_06608!D6),",0",",0")</f>
        <v>666855,6|4,0,0</v>
      </c>
      <c r="E6" t="str">
        <f>CONCATENATE(666314,",",ROW(BCTCR_06608!E6),"|",COLUMN(BCTCR_06608!E6),",0",",0")</f>
        <v>666314,6|5,0,0</v>
      </c>
    </row>
    <row r="7" spans="1:5" x14ac:dyDescent="0.25">
      <c r="A7" t="str">
        <f>CONCATENATE(666610,",",ROW(BCTCR_06608!A7),"|",COLUMN(BCTCR_06608!A7),",0",",0")</f>
        <v>666610,7|1,0,0</v>
      </c>
      <c r="B7" t="str">
        <f>CONCATENATE(666642,",",ROW(BCTCR_06608!B7),"|",COLUMN(BCTCR_06608!B7),",0",",0")</f>
        <v>666642,7|2,0,0</v>
      </c>
      <c r="C7" t="str">
        <f>CONCATENATE(666446,",",ROW(BCTCR_06608!C7),"|",COLUMN(BCTCR_06608!C7),",0",",0")</f>
        <v>666446,7|3,0,0</v>
      </c>
      <c r="D7" t="str">
        <f>CONCATENATE(666856,",",ROW(BCTCR_06608!D7),"|",COLUMN(BCTCR_06608!D7),",0",",0")</f>
        <v>666856,7|4,0,0</v>
      </c>
      <c r="E7" t="str">
        <f>CONCATENATE(666315,",",ROW(BCTCR_06608!E7),"|",COLUMN(BCTCR_06608!E7),",0",",0")</f>
        <v>666315,7|5,0,0</v>
      </c>
    </row>
    <row r="8" spans="1:5" x14ac:dyDescent="0.25">
      <c r="A8" t="str">
        <f>CONCATENATE(666608,",",ROW(BCTCR_06608!A8),"|",COLUMN(BCTCR_06608!A8),",0",",0")</f>
        <v>666608,8|1,0,0</v>
      </c>
      <c r="B8" t="str">
        <f>CONCATENATE(666424,",",ROW(BCTCR_06608!B8),"|",COLUMN(BCTCR_06608!B8),",0",",0")</f>
        <v>666424,8|2,0,0</v>
      </c>
      <c r="C8" t="str">
        <f>CONCATENATE(666444,",",ROW(BCTCR_06608!C8),"|",COLUMN(BCTCR_06608!C8),",0",",0")</f>
        <v>666444,8|3,0,0</v>
      </c>
      <c r="D8" t="str">
        <f>CONCATENATE(666854,",",ROW(BCTCR_06608!D8),"|",COLUMN(BCTCR_06608!D8),",0",",0")</f>
        <v>666854,8|4,0,0</v>
      </c>
      <c r="E8" t="str">
        <f>CONCATENATE(666324,",",ROW(BCTCR_06608!E8),"|",COLUMN(BCTCR_06608!E8),",0",",0")</f>
        <v>666324,8|5,0,0</v>
      </c>
    </row>
    <row r="9" spans="1:5" x14ac:dyDescent="0.25">
      <c r="A9" t="str">
        <f>CONCATENATE(666587,",",ROW(BCTCR_06608!A9),"|",COLUMN(BCTCR_06608!A9),",0",",0")</f>
        <v>666587,9|1,0,0</v>
      </c>
      <c r="B9" t="str">
        <f>CONCATENATE(666413,",",ROW(BCTCR_06608!B9),"|",COLUMN(BCTCR_06608!B9),",0",",0")</f>
        <v>666413,9|2,0,0</v>
      </c>
      <c r="C9" t="str">
        <f>CONCATENATE(666712,",",ROW(BCTCR_06608!C9),"|",COLUMN(BCTCR_06608!C9),",0",",0")</f>
        <v>666712,9|3,0,0</v>
      </c>
      <c r="D9" t="str">
        <f>CONCATENATE(666895,",",ROW(BCTCR_06608!D9),"|",COLUMN(BCTCR_06608!D9),",0",",0")</f>
        <v>666895,9|4,0,0</v>
      </c>
      <c r="E9" t="str">
        <f>CONCATENATE(666683,",",ROW(BCTCR_06608!E9),"|",COLUMN(BCTCR_06608!E9),",0",",0")</f>
        <v>666683,9|5,0,0</v>
      </c>
    </row>
    <row r="10" spans="1:5" x14ac:dyDescent="0.25">
      <c r="A10" t="str">
        <f>CONCATENATE(666685,",",ROW(BCTCR_06608!A10),"|",COLUMN(BCTCR_06608!A10),",0",",0")</f>
        <v>666685,10|1,0,0</v>
      </c>
      <c r="B10" t="s">
        <v>5</v>
      </c>
      <c r="C10" t="str">
        <f>CONCATENATE(666795,",",ROW(BCTCR_06608!C10),"|",COLUMN(BCTCR_06608!C10),",0",",0")</f>
        <v>666795,10|3,0,0</v>
      </c>
      <c r="D10" t="str">
        <f>CONCATENATE(666442,",",ROW(BCTCR_06608!D10),"|",COLUMN(BCTCR_06608!D10),",0",",0")</f>
        <v>666442,10|4,0,0</v>
      </c>
      <c r="E10" t="str">
        <f>CONCATENATE(666853,",",ROW(BCTCR_06608!E10),"|",COLUMN(BCTCR_06608!E10),",0",",0")</f>
        <v>666853,10|5,0,0</v>
      </c>
    </row>
    <row r="11" spans="1:5" x14ac:dyDescent="0.25">
      <c r="A11" t="str">
        <f>CONCATENATE(666528,",",ROW(BCTCR_06608!A11),"|",COLUMN(BCTCR_06608!A11),",0",",0")</f>
        <v>666528,11|1,0,0</v>
      </c>
      <c r="B11" t="str">
        <f>CONCATENATE(666811,",",ROW(BCTCR_06608!B11),"|",COLUMN(BCTCR_06608!B11),",0",",0")</f>
        <v>666811,11|2,0,0</v>
      </c>
      <c r="C11" t="str">
        <f>CONCATENATE(666757,",",ROW(BCTCR_06608!C11),"|",COLUMN(BCTCR_06608!C11),",0",",0")</f>
        <v>666757,11|3,0,0</v>
      </c>
      <c r="D11" t="str">
        <f>CONCATENATE(666443,",",ROW(BCTCR_06608!D11),"|",COLUMN(BCTCR_06608!D11),",0",",0")</f>
        <v>666443,11|4,0,0</v>
      </c>
      <c r="E11" t="str">
        <f>CONCATENATE(666625,",",ROW(BCTCR_06608!E11),"|",COLUMN(BCTCR_06608!E11),",0",",0")</f>
        <v>666625,11|5,0,0</v>
      </c>
    </row>
    <row r="12" spans="1:5" x14ac:dyDescent="0.25">
      <c r="A12" t="str">
        <f>CONCATENATE(666526,",",ROW(BCTCR_06608!A12),"|",COLUMN(BCTCR_06608!A12),",0",",0")</f>
        <v>666526,12|1,0,0</v>
      </c>
      <c r="B12" t="str">
        <f>CONCATENATE(666809,",",ROW(BCTCR_06608!B12),"|",COLUMN(BCTCR_06608!B12),",0",",0")</f>
        <v>666809,12|2,0,0</v>
      </c>
      <c r="C12" t="str">
        <f>CONCATENATE(666745,",",ROW(BCTCR_06608!C12),"|",COLUMN(BCTCR_06608!C12),",0",",0")</f>
        <v>666745,12|3,0,0</v>
      </c>
      <c r="D12" t="str">
        <f>CONCATENATE(666878,",",ROW(BCTCR_06608!D12),"|",COLUMN(BCTCR_06608!D12),",0",",0")</f>
        <v>666878,12|4,0,0</v>
      </c>
      <c r="E12" t="str">
        <f>CONCATENATE(666548,",",ROW(BCTCR_06608!E12),"|",COLUMN(BCTCR_06608!E12),",0",",0")</f>
        <v>666548,12|5,0,0</v>
      </c>
    </row>
    <row r="13" spans="1:5" x14ac:dyDescent="0.25">
      <c r="A13" t="str">
        <f>CONCATENATE(666527,",",ROW(BCTCR_06608!A13),"|",COLUMN(BCTCR_06608!A13),",0",",0")</f>
        <v>666527,13|1,0,0</v>
      </c>
      <c r="B13" t="str">
        <f>CONCATENATE(666810,",",ROW(BCTCR_06608!B13),"|",COLUMN(BCTCR_06608!B13),",0",",0")</f>
        <v>666810,13|2,0,0</v>
      </c>
      <c r="C13" t="str">
        <f>CONCATENATE(666756,",",ROW(BCTCR_06608!C13),"|",COLUMN(BCTCR_06608!C13),",0",",0")</f>
        <v>666756,13|3,0,0</v>
      </c>
      <c r="D13" t="str">
        <f>CONCATENATE(666850,",",ROW(BCTCR_06608!D13),"|",COLUMN(BCTCR_06608!D13),",0",",0")</f>
        <v>666850,13|4,0,0</v>
      </c>
      <c r="E13" t="str">
        <f>CONCATENATE(666558,",",ROW(BCTCR_06608!E13),"|",COLUMN(BCTCR_06608!E13),",0",",0")</f>
        <v>666558,13|5,0,0</v>
      </c>
    </row>
    <row r="14" spans="1:5" x14ac:dyDescent="0.25">
      <c r="A14" t="str">
        <f>CONCATENATE(666529,",",ROW(BCTCR_06608!A14),"|",COLUMN(BCTCR_06608!A14),",0",",0")</f>
        <v>666529,14|1,0,0</v>
      </c>
      <c r="B14" t="str">
        <f>CONCATENATE(666516,",",ROW(BCTCR_06608!B14),"|",COLUMN(BCTCR_06608!B14),",0",",0")</f>
        <v>666516,14|2,0,0</v>
      </c>
      <c r="C14" t="str">
        <f>CONCATENATE(666758,",",ROW(BCTCR_06608!C14),"|",COLUMN(BCTCR_06608!C14),",0",",0")</f>
        <v>666758,14|3,0,0</v>
      </c>
      <c r="D14" t="str">
        <f>CONCATENATE(666372,",",ROW(BCTCR_06608!D14),"|",COLUMN(BCTCR_06608!D14),",0",",0")</f>
        <v>666372,14|4,0,0</v>
      </c>
      <c r="E14" t="str">
        <f>CONCATENATE(666626,",",ROW(BCTCR_06608!E14),"|",COLUMN(BCTCR_06608!E14),",0",",0")</f>
        <v>666626,14|5,0,0</v>
      </c>
    </row>
    <row r="15" spans="1:5" x14ac:dyDescent="0.25">
      <c r="A15" t="str">
        <f>CONCATENATE(666611,",",ROW(BCTCR_06608!A15),"|",COLUMN(BCTCR_06608!A15),",0",",0")</f>
        <v>666611,15|1,0,0</v>
      </c>
      <c r="B15" t="str">
        <f>CONCATENATE(666414,",",ROW(BCTCR_06608!B15),"|",COLUMN(BCTCR_06608!B15),",0",",0")</f>
        <v>666414,15|2,0,0</v>
      </c>
      <c r="C15" t="str">
        <f>CONCATENATE(666447,",",ROW(BCTCR_06608!C15),"|",COLUMN(BCTCR_06608!C15),",0",",0")</f>
        <v>666447,15|3,0,0</v>
      </c>
      <c r="D15" t="str">
        <f>CONCATENATE(666857,",",ROW(BCTCR_06608!D15),"|",COLUMN(BCTCR_06608!D15),",0",",0")</f>
        <v>666857,15|4,0,0</v>
      </c>
      <c r="E15" t="str">
        <f>CONCATENATE(666316,",",ROW(BCTCR_06608!E15),"|",COLUMN(BCTCR_06608!E15),",0",",0")</f>
        <v>666316,15|5,0,0</v>
      </c>
    </row>
    <row r="16" spans="1:5" x14ac:dyDescent="0.25">
      <c r="A16" t="str">
        <f>CONCATENATE(666530,",",ROW(BCTCR_06608!A16),"|",COLUMN(BCTCR_06608!A16),",0",",0")</f>
        <v>666530,16|1,0,0</v>
      </c>
      <c r="B16" t="str">
        <f>CONCATENATE(666353,",",ROW(BCTCR_06608!B16),"|",COLUMN(BCTCR_06608!B16),",0",",0")</f>
        <v>666353,16|2,0,0</v>
      </c>
      <c r="C16" t="str">
        <f>CONCATENATE(666759,",",ROW(BCTCR_06608!C16),"|",COLUMN(BCTCR_06608!C16),",0",",0")</f>
        <v>666759,16|3,0,0</v>
      </c>
      <c r="D16" t="str">
        <f>CONCATENATE(666373,",",ROW(BCTCR_06608!D16),"|",COLUMN(BCTCR_06608!D16),",0",",0")</f>
        <v>666373,16|4,0,0</v>
      </c>
      <c r="E16" t="str">
        <f>CONCATENATE(666559,",",ROW(BCTCR_06608!E16),"|",COLUMN(BCTCR_06608!E16),",0",",0")</f>
        <v>666559,16|5,0,0</v>
      </c>
    </row>
    <row r="17" spans="1:5" x14ac:dyDescent="0.25">
      <c r="A17" t="str">
        <f>CONCATENATE(666612,",",ROW(BCTCR_06608!A17),"|",COLUMN(BCTCR_06608!A17),",0",",0")</f>
        <v>666612,17|1,0,0</v>
      </c>
      <c r="B17" t="str">
        <f>CONCATENATE(666517,",",ROW(BCTCR_06608!B17),"|",COLUMN(BCTCR_06608!B17),",0",",0")</f>
        <v>666517,17|2,0,0</v>
      </c>
      <c r="C17" t="str">
        <f>CONCATENATE(666448,",",ROW(BCTCR_06608!C17),"|",COLUMN(BCTCR_06608!C17),",0",",0")</f>
        <v>666448,17|3,0,0</v>
      </c>
      <c r="D17" t="str">
        <f>CONCATENATE(666858,",",ROW(BCTCR_06608!D17),"|",COLUMN(BCTCR_06608!D17),",0",",0")</f>
        <v>666858,17|4,0,0</v>
      </c>
      <c r="E17" t="str">
        <f>CONCATENATE(666318,",",ROW(BCTCR_06608!E17),"|",COLUMN(BCTCR_06608!E17),",0",",0")</f>
        <v>666318,17|5,0,0</v>
      </c>
    </row>
    <row r="18" spans="1:5" x14ac:dyDescent="0.25">
      <c r="A18" t="str">
        <f>CONCATENATE(666259,",",ROW(BCTCR_06608!A18),"|",COLUMN(BCTCR_06608!A18),",0",",0")</f>
        <v>666259,18|1,0,0</v>
      </c>
      <c r="B18" t="str">
        <f>CONCATENATE(666365,",",ROW(BCTCR_06608!B18),"|",COLUMN(BCTCR_06608!B18),",0",",0")</f>
        <v>666365,18|2,0,0</v>
      </c>
      <c r="C18" t="str">
        <f>CONCATENATE(666760,",",ROW(BCTCR_06608!C18),"|",COLUMN(BCTCR_06608!C18),",0",",0")</f>
        <v>666760,18|3,0,0</v>
      </c>
      <c r="D18" t="str">
        <f>CONCATENATE(666374,",",ROW(BCTCR_06608!D18),"|",COLUMN(BCTCR_06608!D18),",0",",0")</f>
        <v>666374,18|4,0,0</v>
      </c>
      <c r="E18" t="str">
        <f>CONCATENATE(666560,",",ROW(BCTCR_06608!E18),"|",COLUMN(BCTCR_06608!E18),",0",",0")</f>
        <v>666560,18|5,0,0</v>
      </c>
    </row>
    <row r="19" spans="1:5" x14ac:dyDescent="0.25">
      <c r="A19" t="str">
        <f>CONCATENATE(666613,",",ROW(BCTCR_06608!A19),"|",COLUMN(BCTCR_06608!A19),",0",",0")</f>
        <v>666613,19|1,0,0</v>
      </c>
      <c r="B19" t="str">
        <f>CONCATENATE(666354,",",ROW(BCTCR_06608!B19),"|",COLUMN(BCTCR_06608!B19),",0",",0")</f>
        <v>666354,19|2,0,0</v>
      </c>
      <c r="C19" t="str">
        <f>CONCATENATE(666449,",",ROW(BCTCR_06608!C19),"|",COLUMN(BCTCR_06608!C19),",0",",0")</f>
        <v>666449,19|3,0,0</v>
      </c>
      <c r="D19" t="str">
        <f>CONCATENATE(666859,",",ROW(BCTCR_06608!D19),"|",COLUMN(BCTCR_06608!D19),",0",",0")</f>
        <v>666859,19|4,0,0</v>
      </c>
      <c r="E19" t="str">
        <f>CONCATENATE(666319,",",ROW(BCTCR_06608!E19),"|",COLUMN(BCTCR_06608!E19),",0",",0")</f>
        <v>666319,19|5,0,0</v>
      </c>
    </row>
    <row r="20" spans="1:5" x14ac:dyDescent="0.25">
      <c r="A20" t="str">
        <f>CONCATENATE(666588,",",ROW(BCTCR_06608!A20),"|",COLUMN(BCTCR_06608!A20),",0",",0")</f>
        <v>666588,20|1,0,0</v>
      </c>
      <c r="B20" t="str">
        <f>CONCATENATE(666812,",",ROW(BCTCR_06608!B20),"|",COLUMN(BCTCR_06608!B20),",0",",0")</f>
        <v>666812,20|2,0,0</v>
      </c>
      <c r="C20" t="str">
        <f>CONCATENATE(666761,",",ROW(BCTCR_06608!C20),"|",COLUMN(BCTCR_06608!C20),",0",",0")</f>
        <v>666761,20|3,0,0</v>
      </c>
      <c r="D20" t="str">
        <f>CONCATENATE(666375,",",ROW(BCTCR_06608!D20),"|",COLUMN(BCTCR_06608!D20),",0",",0")</f>
        <v>666375,20|4,0,0</v>
      </c>
      <c r="E20" t="str">
        <f>CONCATENATE(666561,",",ROW(BCTCR_06608!E20),"|",COLUMN(BCTCR_06608!E20),",0",",0")</f>
        <v>666561,20|5,0,0</v>
      </c>
    </row>
    <row r="21" spans="1:5" x14ac:dyDescent="0.25">
      <c r="A21" t="str">
        <f>CONCATENATE(666531,",",ROW(BCTCR_06608!A21),"|",COLUMN(BCTCR_06608!A21),",0",",0")</f>
        <v>666531,21|1,0,0</v>
      </c>
      <c r="B21" t="str">
        <f>CONCATENATE(666415,",",ROW(BCTCR_06608!B21),"|",COLUMN(BCTCR_06608!B21),",0",",0")</f>
        <v>666415,21|2,0,0</v>
      </c>
      <c r="C21" t="str">
        <f>CONCATENATE(666713,",",ROW(BCTCR_06608!C21),"|",COLUMN(BCTCR_06608!C21),",0",",0")</f>
        <v>666713,21|3,0,0</v>
      </c>
      <c r="D21" t="str">
        <f>CONCATENATE(666896,",",ROW(BCTCR_06608!D21),"|",COLUMN(BCTCR_06608!D21),",0",",0")</f>
        <v>666896,21|4,0,0</v>
      </c>
      <c r="E21" t="str">
        <f>CONCATENATE(666775,",",ROW(BCTCR_06608!E21),"|",COLUMN(BCTCR_06608!E21),",0",",0")</f>
        <v>666775,21|5,0,0</v>
      </c>
    </row>
    <row r="22" spans="1:5" x14ac:dyDescent="0.25">
      <c r="A22" t="str">
        <f>CONCATENATE(666262,",",ROW(BCTCR_06608!A22),"|",COLUMN(BCTCR_06608!A22),",0",",0")</f>
        <v>666262,22|1,0,0</v>
      </c>
      <c r="B22" t="str">
        <f>CONCATENATE(666672,",",ROW(BCTCR_06608!B22),"|",COLUMN(BCTCR_06608!B22),",0",",0")</f>
        <v>666672,22|2,0,0</v>
      </c>
      <c r="C22" t="str">
        <f>CONCATENATE(666762,",",ROW(BCTCR_06608!C22),"|",COLUMN(BCTCR_06608!C22),",0",",0")</f>
        <v>666762,22|3,0,0</v>
      </c>
      <c r="D22" t="str">
        <f>CONCATENATE(666376,",",ROW(BCTCR_06608!D22),"|",COLUMN(BCTCR_06608!D22),",0",",0")</f>
        <v>666376,22|4,0,0</v>
      </c>
      <c r="E22" t="str">
        <f>CONCATENATE(666562,",",ROW(BCTCR_06608!E22),"|",COLUMN(BCTCR_06608!E22),",0",",0")</f>
        <v>666562,22|5,0,0</v>
      </c>
    </row>
    <row r="23" spans="1:5" x14ac:dyDescent="0.25">
      <c r="A23" t="str">
        <f>CONCATENATE(666614,",",ROW(BCTCR_06608!A23),"|",COLUMN(BCTCR_06608!A23),",0",",0")</f>
        <v>666614,23|1,0,0</v>
      </c>
      <c r="B23" t="str">
        <f>CONCATENATE(666416,",",ROW(BCTCR_06608!B23),"|",COLUMN(BCTCR_06608!B23),",0",",0")</f>
        <v>666416,23|2,0,0</v>
      </c>
      <c r="C23" t="str">
        <f>CONCATENATE(666749,",",ROW(BCTCR_06608!C23),"|",COLUMN(BCTCR_06608!C23),",0",",0")</f>
        <v>666749,23|3,0,0</v>
      </c>
      <c r="D23" t="str">
        <f>CONCATENATE(666860,",",ROW(BCTCR_06608!D23),"|",COLUMN(BCTCR_06608!D23),",0",",0")</f>
        <v>666860,23|4,0,0</v>
      </c>
      <c r="E23" t="str">
        <f>CONCATENATE(666320,",",ROW(BCTCR_06608!E23),"|",COLUMN(BCTCR_06608!E23),",0",",0")</f>
        <v>666320,23|5,0,0</v>
      </c>
    </row>
    <row r="24" spans="1:5" x14ac:dyDescent="0.25">
      <c r="A24" t="str">
        <f>CONCATENATE(666589,",",ROW(BCTCR_06608!A24),"|",COLUMN(BCTCR_06608!A24),",0",",0")</f>
        <v>666589,24|1,0,0</v>
      </c>
      <c r="B24" t="str">
        <f>CONCATENATE(666673,",",ROW(BCTCR_06608!B24),"|",COLUMN(BCTCR_06608!B24),",0",",0")</f>
        <v>666673,24|2,0,0</v>
      </c>
      <c r="C24" t="str">
        <f>CONCATENATE(666763,",",ROW(BCTCR_06608!C24),"|",COLUMN(BCTCR_06608!C24),",0",",0")</f>
        <v>666763,24|3,0,0</v>
      </c>
      <c r="D24" t="str">
        <f>CONCATENATE(666377,",",ROW(BCTCR_06608!D24),"|",COLUMN(BCTCR_06608!D24),",0",",0")</f>
        <v>666377,24|4,0,0</v>
      </c>
      <c r="E24" t="str">
        <f>CONCATENATE(666563,",",ROW(BCTCR_06608!E24),"|",COLUMN(BCTCR_06608!E24),",0",",0")</f>
        <v>666563,24|5,0,0</v>
      </c>
    </row>
    <row r="25" spans="1:5" x14ac:dyDescent="0.25">
      <c r="A25" t="str">
        <f>CONCATENATE(666615,",",ROW(BCTCR_06608!A25),"|",COLUMN(BCTCR_06608!A25),",0",",0")</f>
        <v>666615,25|1,0,0</v>
      </c>
      <c r="B25" t="str">
        <f>CONCATENATE(666674,",",ROW(BCTCR_06608!B25),"|",COLUMN(BCTCR_06608!B25),",0",",0")</f>
        <v>666674,25|2,0,0</v>
      </c>
      <c r="C25" t="str">
        <f>CONCATENATE(666450,",",ROW(BCTCR_06608!C25),"|",COLUMN(BCTCR_06608!C25),",0",",0")</f>
        <v>666450,25|3,0,0</v>
      </c>
      <c r="D25" t="str">
        <f>CONCATENATE(666861,",",ROW(BCTCR_06608!D25),"|",COLUMN(BCTCR_06608!D25),",0",",0")</f>
        <v>666861,25|4,0,0</v>
      </c>
      <c r="E25" t="str">
        <f>CONCATENATE(666321,",",ROW(BCTCR_06608!E25),"|",COLUMN(BCTCR_06608!E25),",0",",0")</f>
        <v>666321,25|5,0,0</v>
      </c>
    </row>
    <row r="26" spans="1:5" x14ac:dyDescent="0.25">
      <c r="A26" t="str">
        <f>CONCATENATE(666532,",",ROW(BCTCR_06608!A26),"|",COLUMN(BCTCR_06608!A26),",0",",0")</f>
        <v>666532,26|1,0,0</v>
      </c>
      <c r="B26" t="str">
        <f>CONCATENATE(666518,",",ROW(BCTCR_06608!B26),"|",COLUMN(BCTCR_06608!B26),",0",",0")</f>
        <v>666518,26|2,0,0</v>
      </c>
      <c r="C26" t="str">
        <f>CONCATENATE(666764,",",ROW(BCTCR_06608!C26),"|",COLUMN(BCTCR_06608!C26),",0",",0")</f>
        <v>666764,26|3,0,0</v>
      </c>
      <c r="D26" t="str">
        <f>CONCATENATE(666378,",",ROW(BCTCR_06608!D26),"|",COLUMN(BCTCR_06608!D26),",0",",0")</f>
        <v>666378,26|4,0,0</v>
      </c>
      <c r="E26" t="str">
        <f>CONCATENATE(666564,",",ROW(BCTCR_06608!E26),"|",COLUMN(BCTCR_06608!E26),",0",",0")</f>
        <v>666564,26|5,0,0</v>
      </c>
    </row>
    <row r="27" spans="1:5" x14ac:dyDescent="0.25">
      <c r="A27" t="str">
        <f>CONCATENATE(666263,",",ROW(BCTCR_06608!A27),"|",COLUMN(BCTCR_06608!A27),",0",",0")</f>
        <v>666263,27|1,0,0</v>
      </c>
      <c r="B27" t="str">
        <f>CONCATENATE(666519,",",ROW(BCTCR_06608!B27),"|",COLUMN(BCTCR_06608!B27),",0",",0")</f>
        <v>666519,27|2,0,0</v>
      </c>
      <c r="C27" t="str">
        <f>CONCATENATE(666765,",",ROW(BCTCR_06608!C27),"|",COLUMN(BCTCR_06608!C27),",0",",0")</f>
        <v>666765,27|3,0,0</v>
      </c>
      <c r="D27" t="str">
        <f>CONCATENATE(666379,",",ROW(BCTCR_06608!D27),"|",COLUMN(BCTCR_06608!D27),",0",",0")</f>
        <v>666379,27|4,0,0</v>
      </c>
      <c r="E27" t="str">
        <f>CONCATENATE(666565,",",ROW(BCTCR_06608!E27),"|",COLUMN(BCTCR_06608!E27),",0",",0")</f>
        <v>666565,27|5,0,0</v>
      </c>
    </row>
    <row r="28" spans="1:5" x14ac:dyDescent="0.25">
      <c r="A28" t="str">
        <f>CONCATENATE(666264,",",ROW(BCTCR_06608!A28),"|",COLUMN(BCTCR_06608!A28),",0",",0")</f>
        <v>666264,28|1,0,0</v>
      </c>
      <c r="B28" t="str">
        <f>CONCATENATE(666317,",",ROW(BCTCR_06608!B28),"|",COLUMN(BCTCR_06608!B28),",0",",0")</f>
        <v>666317,28|2,0,0</v>
      </c>
      <c r="C28" t="str">
        <f>CONCATENATE(666714,",",ROW(BCTCR_06608!C28),"|",COLUMN(BCTCR_06608!C28),",0",",0")</f>
        <v>666714,28|3,0,0</v>
      </c>
      <c r="D28" t="str">
        <f>CONCATENATE(666897,",",ROW(BCTCR_06608!D28),"|",COLUMN(BCTCR_06608!D28),",0",",0")</f>
        <v>666897,28|4,0,0</v>
      </c>
      <c r="E28" t="str">
        <f>CONCATENATE(666776,",",ROW(BCTCR_06608!E28),"|",COLUMN(BCTCR_06608!E28),",0",",0")</f>
        <v>666776,28|5,0,0</v>
      </c>
    </row>
    <row r="29" spans="1:5" x14ac:dyDescent="0.25">
      <c r="A29" t="str">
        <f>CONCATENATE(666590,",",ROW(BCTCR_06608!A29),"|",COLUMN(BCTCR_06608!A29),",0",",0")</f>
        <v>666590,29|1,0,0</v>
      </c>
      <c r="B29" t="str">
        <f>CONCATENATE(666366,",",ROW(BCTCR_06608!B29),"|",COLUMN(BCTCR_06608!B29),",0",",0")</f>
        <v>666366,29|2,0,0</v>
      </c>
      <c r="C29" t="str">
        <f>CONCATENATE(666433,",",ROW(BCTCR_06608!C29),"|",COLUMN(BCTCR_06608!C29),",0",",0")</f>
        <v>666433,29|3,0,0</v>
      </c>
      <c r="D29" t="str">
        <f>CONCATENATE(666380,",",ROW(BCTCR_06608!D29),"|",COLUMN(BCTCR_06608!D29),",0",",0")</f>
        <v>666380,29|4,0,0</v>
      </c>
      <c r="E29" t="str">
        <f>CONCATENATE(666566,",",ROW(BCTCR_06608!E29),"|",COLUMN(BCTCR_06608!E29),",0",",0")</f>
        <v>666566,29|5,0,0</v>
      </c>
    </row>
    <row r="30" spans="1:5" x14ac:dyDescent="0.25">
      <c r="A30" t="str">
        <f>CONCATENATE(666591,",",ROW(BCTCR_06608!A30),"|",COLUMN(BCTCR_06608!A30),",0",",0")</f>
        <v>666591,30|1,0,0</v>
      </c>
      <c r="B30" t="str">
        <f>CONCATENATE(666813,",",ROW(BCTCR_06608!B30),"|",COLUMN(BCTCR_06608!B30),",0",",0")</f>
        <v>666813,30|2,0,0</v>
      </c>
      <c r="C30" t="str">
        <f>CONCATENATE(666463,",",ROW(BCTCR_06608!C30),"|",COLUMN(BCTCR_06608!C30),",0",",0")</f>
        <v>666463,30|3,0,0</v>
      </c>
      <c r="D30" t="str">
        <f>CONCATENATE(666381,",",ROW(BCTCR_06608!D30),"|",COLUMN(BCTCR_06608!D30),",0",",0")</f>
        <v>666381,30|4,0,0</v>
      </c>
      <c r="E30" t="str">
        <f>CONCATENATE(666567,",",ROW(BCTCR_06608!E30),"|",COLUMN(BCTCR_06608!E30),",0",",0")</f>
        <v>666567,30|5,0,0</v>
      </c>
    </row>
    <row r="31" spans="1:5" x14ac:dyDescent="0.25">
      <c r="A31" t="str">
        <f>CONCATENATE(666676,",",ROW(BCTCR_06608!A31),"|",COLUMN(BCTCR_06608!A31),",0",",0")</f>
        <v>666676,31|1,0,0</v>
      </c>
      <c r="B31" t="str">
        <f>CONCATENATE(666417,",",ROW(BCTCR_06608!B31),"|",COLUMN(BCTCR_06608!B31),",0",",0")</f>
        <v>666417,31|2,0,0</v>
      </c>
      <c r="C31" t="str">
        <f>CONCATENATE(666715,",",ROW(BCTCR_06608!C31),"|",COLUMN(BCTCR_06608!C31),",0",",0")</f>
        <v>666715,31|3,0,0</v>
      </c>
      <c r="D31" t="str">
        <f>CONCATENATE(666898,",",ROW(BCTCR_06608!D31),"|",COLUMN(BCTCR_06608!D31),",0",",0")</f>
        <v>666898,31|4,0,0</v>
      </c>
      <c r="E31" t="str">
        <f>CONCATENATE(666777,",",ROW(BCTCR_06608!E31),"|",COLUMN(BCTCR_06608!E31),",0",",0")</f>
        <v>666777,31|5,0,0</v>
      </c>
    </row>
    <row r="32" spans="1:5" x14ac:dyDescent="0.25">
      <c r="A32" t="str">
        <f>CONCATENATE(666412,",",ROW(BCTCR_06608!A32),"|",COLUMN(BCTCR_06608!A32),",0",",0")</f>
        <v>666412,32|1,0,0</v>
      </c>
      <c r="B32" t="str">
        <f>CONCATENATE(666520,",",ROW(BCTCR_06608!B32),"|",COLUMN(BCTCR_06608!B32),",0",",0")</f>
        <v>666520,32|2,0,0</v>
      </c>
      <c r="C32" t="str">
        <f>CONCATENATE(666711,",",ROW(BCTCR_06608!C32),"|",COLUMN(BCTCR_06608!C32),",0",",0")</f>
        <v>666711,32|3,0,0</v>
      </c>
      <c r="D32" t="str">
        <f>CONCATENATE(666894,",",ROW(BCTCR_06608!D32),"|",COLUMN(BCTCR_06608!D32),",0",",0")</f>
        <v>666894,32|4,0,0</v>
      </c>
      <c r="E32" t="str">
        <f>CONCATENATE(666682,",",ROW(BCTCR_06608!E32),"|",COLUMN(BCTCR_06608!E32),",0",",0")</f>
        <v>666682,32|5,0,0</v>
      </c>
    </row>
    <row r="33" spans="1:5" x14ac:dyDescent="0.25">
      <c r="A33" t="str">
        <f>CONCATENATE(666592,",",ROW(BCTCR_06608!A33),"|",COLUMN(BCTCR_06608!A33),",0",",0")</f>
        <v>666592,33|1,0,0</v>
      </c>
      <c r="B33" t="str">
        <f>CONCATENATE(666814,",",ROW(BCTCR_06608!B33),"|",COLUMN(BCTCR_06608!B33),",0",",0")</f>
        <v>666814,33|2,0,0</v>
      </c>
      <c r="C33" t="str">
        <f>CONCATENATE(666464,",",ROW(BCTCR_06608!C33),"|",COLUMN(BCTCR_06608!C33),",0",",0")</f>
        <v>666464,33|3,0,0</v>
      </c>
      <c r="D33" t="str">
        <f>CONCATENATE(666382,",",ROW(BCTCR_06608!D33),"|",COLUMN(BCTCR_06608!D33),",0",",0")</f>
        <v>666382,33|4,0,0</v>
      </c>
      <c r="E33" t="str">
        <f>CONCATENATE(666568,",",ROW(BCTCR_06608!E33),"|",COLUMN(BCTCR_06608!E33),",0",",0")</f>
        <v>666568,33|5,0,0</v>
      </c>
    </row>
    <row r="34" spans="1:5" x14ac:dyDescent="0.25">
      <c r="A34" t="str">
        <f>CONCATENATE(666533,",",ROW(BCTCR_06608!A34),"|",COLUMN(BCTCR_06608!A34),",0",",0")</f>
        <v>666533,34|1,0,0</v>
      </c>
      <c r="B34" t="str">
        <f>CONCATENATE(666675,",",ROW(BCTCR_06608!B34),"|",COLUMN(BCTCR_06608!B34),",0",",0")</f>
        <v>666675,34|2,0,0</v>
      </c>
      <c r="C34" t="str">
        <f>CONCATENATE(666465,",",ROW(BCTCR_06608!C34),"|",COLUMN(BCTCR_06608!C34),",0",",0")</f>
        <v>666465,34|3,0,0</v>
      </c>
      <c r="D34" t="str">
        <f>CONCATENATE(666383,",",ROW(BCTCR_06608!D34),"|",COLUMN(BCTCR_06608!D34),",0",",0")</f>
        <v>666383,34|4,0,0</v>
      </c>
      <c r="E34" t="str">
        <f>CONCATENATE(666569,",",ROW(BCTCR_06608!E34),"|",COLUMN(BCTCR_06608!E34),",0",",0")</f>
        <v>666569,34|5,0,0</v>
      </c>
    </row>
    <row r="35" spans="1:5" x14ac:dyDescent="0.25">
      <c r="A35" t="str">
        <f>CONCATENATE(666593,",",ROW(BCTCR_06608!A35),"|",COLUMN(BCTCR_06608!A35),",0",",0")</f>
        <v>666593,35|1,0,0</v>
      </c>
      <c r="B35" t="str">
        <f>CONCATENATE(666815,",",ROW(BCTCR_06608!B35),"|",COLUMN(BCTCR_06608!B35),",0",",0")</f>
        <v>666815,35|2,0,0</v>
      </c>
      <c r="C35" t="str">
        <f>CONCATENATE(666466,",",ROW(BCTCR_06608!C35),"|",COLUMN(BCTCR_06608!C35),",0",",0")</f>
        <v>666466,35|3,0,0</v>
      </c>
      <c r="D35" t="str">
        <f>CONCATENATE(666384,",",ROW(BCTCR_06608!D35),"|",COLUMN(BCTCR_06608!D35),",0",",0")</f>
        <v>666384,35|4,0,0</v>
      </c>
      <c r="E35" t="str">
        <f>CONCATENATE(666570,",",ROW(BCTCR_06608!E35),"|",COLUMN(BCTCR_06608!E35),",0",",0")</f>
        <v>666570,35|5,0,0</v>
      </c>
    </row>
    <row r="36" spans="1:5" x14ac:dyDescent="0.25">
      <c r="A36" t="str">
        <f>CONCATENATE(666534,",",ROW(BCTCR_06608!A36),"|",COLUMN(BCTCR_06608!A36),",0",",0")</f>
        <v>666534,36|1,0,0</v>
      </c>
      <c r="B36" t="str">
        <f>CONCATENATE(666367,",",ROW(BCTCR_06608!B36),"|",COLUMN(BCTCR_06608!B36),",0",",0")</f>
        <v>666367,36|2,0,0</v>
      </c>
      <c r="C36" t="str">
        <f>CONCATENATE(666467,",",ROW(BCTCR_06608!C36),"|",COLUMN(BCTCR_06608!C36),",0",",0")</f>
        <v>666467,36|3,0,0</v>
      </c>
      <c r="D36" t="str">
        <f>CONCATENATE(666385,",",ROW(BCTCR_06608!D36),"|",COLUMN(BCTCR_06608!D36),",0",",0")</f>
        <v>666385,36|4,0,0</v>
      </c>
      <c r="E36" t="str">
        <f>CONCATENATE(666571,",",ROW(BCTCR_06608!E36),"|",COLUMN(BCTCR_06608!E36),",0",",0")</f>
        <v>666571,36|5,0,0</v>
      </c>
    </row>
    <row r="37" spans="1:5" x14ac:dyDescent="0.25">
      <c r="A37" t="str">
        <f>CONCATENATE(666677,",",ROW(BCTCR_06608!A37),"|",COLUMN(BCTCR_06608!A37),",0",",0")</f>
        <v>666677,37|1,0,0</v>
      </c>
      <c r="B37" t="str">
        <f>CONCATENATE(666418,",",ROW(BCTCR_06608!B37),"|",COLUMN(BCTCR_06608!B37),",0",",0")</f>
        <v>666418,37|2,0,0</v>
      </c>
      <c r="C37" t="str">
        <f>CONCATENATE(666717,",",ROW(BCTCR_06608!C37),"|",COLUMN(BCTCR_06608!C37),",0",",0")</f>
        <v>666717,37|3,0,0</v>
      </c>
      <c r="D37" t="str">
        <f>CONCATENATE(666875,",",ROW(BCTCR_06608!D37),"|",COLUMN(BCTCR_06608!D37),",0",",0")</f>
        <v>666875,37|4,0,0</v>
      </c>
      <c r="E37" t="str">
        <f>CONCATENATE(666778,",",ROW(BCTCR_06608!E37),"|",COLUMN(BCTCR_06608!E37),",0",",0")</f>
        <v>666778,37|5,0,0</v>
      </c>
    </row>
    <row r="38" spans="1:5" x14ac:dyDescent="0.25">
      <c r="A38" t="str">
        <f>CONCATENATE(666616,",",ROW(BCTCR_06608!A38),"|",COLUMN(BCTCR_06608!A38),",0",",0")</f>
        <v>666616,38|1,0,0</v>
      </c>
      <c r="B38" t="str">
        <f>CONCATENATE(666368,",",ROW(BCTCR_06608!B38),"|",COLUMN(BCTCR_06608!B38),",0",",0")</f>
        <v>666368,38|2,0,0</v>
      </c>
      <c r="C38" t="str">
        <f>CONCATENATE(666451,",",ROW(BCTCR_06608!C38),"|",COLUMN(BCTCR_06608!C38),",0",",0")</f>
        <v>666451,38|3,0,0</v>
      </c>
      <c r="D38" t="str">
        <f>CONCATENATE(666341,",",ROW(BCTCR_06608!D38),"|",COLUMN(BCTCR_06608!D38),",0",",0")</f>
        <v>666341,38|4,0,0</v>
      </c>
      <c r="E38" t="str">
        <f>CONCATENATE(666322,",",ROW(BCTCR_06608!E38),"|",COLUMN(BCTCR_06608!E38),",0",",0")</f>
        <v>666322,38|5,0,0</v>
      </c>
    </row>
    <row r="39" spans="1:5" x14ac:dyDescent="0.25">
      <c r="A39" t="str">
        <f>CONCATENATE(666535,",",ROW(BCTCR_06608!A39),"|",COLUMN(BCTCR_06608!A39),",0",",0")</f>
        <v>666535,39|1,0,0</v>
      </c>
      <c r="B39" t="str">
        <f>CONCATENATE(666369,",",ROW(BCTCR_06608!B39),"|",COLUMN(BCTCR_06608!B39),",0",",0")</f>
        <v>666369,39|2,0,0</v>
      </c>
      <c r="C39" t="str">
        <f>CONCATENATE(666636,",",ROW(BCTCR_06608!C39),"|",COLUMN(BCTCR_06608!C39),",0",",0")</f>
        <v>666636,39|3,0,0</v>
      </c>
      <c r="D39" t="str">
        <f>CONCATENATE(666386,",",ROW(BCTCR_06608!D39),"|",COLUMN(BCTCR_06608!D39),",0",",0")</f>
        <v>666386,39|4,0,0</v>
      </c>
      <c r="E39" t="str">
        <f>CONCATENATE(666572,",",ROW(BCTCR_06608!E39),"|",COLUMN(BCTCR_06608!E39),",0",",0")</f>
        <v>666572,39|5,0,0</v>
      </c>
    </row>
    <row r="40" spans="1:5" x14ac:dyDescent="0.25">
      <c r="A40" t="str">
        <f>CONCATENATE(666684,",",ROW(BCTCR_06608!A40),"|",COLUMN(BCTCR_06608!A40),",0",",0")</f>
        <v>666684,40|1,0,0</v>
      </c>
      <c r="B40" t="str">
        <f>CONCATENATE(666419,",",ROW(BCTCR_06608!B40),"|",COLUMN(BCTCR_06608!B40),",0",",0")</f>
        <v>666419,40|2,0,0</v>
      </c>
      <c r="C40" t="str">
        <f>CONCATENATE(666718,",",ROW(BCTCR_06608!C40),"|",COLUMN(BCTCR_06608!C40),",0",",0")</f>
        <v>666718,40|3,0,0</v>
      </c>
      <c r="D40" t="str">
        <f>CONCATENATE(666883,",",ROW(BCTCR_06608!D40),"|",COLUMN(BCTCR_06608!D40),",0",",0")</f>
        <v>666883,40|4,0,0</v>
      </c>
      <c r="E40" t="str">
        <f>CONCATENATE(666779,",",ROW(BCTCR_06608!E40),"|",COLUMN(BCTCR_06608!E40),",0",",0")</f>
        <v>666779,40|5,0,0</v>
      </c>
    </row>
    <row r="41" spans="1:5" x14ac:dyDescent="0.25">
      <c r="A41" t="str">
        <f>CONCATENATE(666536,",",ROW(BCTCR_06608!A41),"|",COLUMN(BCTCR_06608!A41),",0",",0")</f>
        <v>666536,41|1,0,0</v>
      </c>
      <c r="B41" t="str">
        <f>CONCATENATE(666425,",",ROW(BCTCR_06608!B41),"|",COLUMN(BCTCR_06608!B41),",0",",0")</f>
        <v>666425,41|2,0,0</v>
      </c>
      <c r="C41" t="str">
        <f>CONCATENATE(666468,",",ROW(BCTCR_06608!C41),"|",COLUMN(BCTCR_06608!C41),",0",",0")</f>
        <v>666468,41|3,0,0</v>
      </c>
      <c r="D41" t="str">
        <f>CONCATENATE(666387,",",ROW(BCTCR_06608!D41),"|",COLUMN(BCTCR_06608!D41),",0",",0")</f>
        <v>666387,41|4,0,0</v>
      </c>
      <c r="E41" t="str">
        <f>CONCATENATE(666573,",",ROW(BCTCR_06608!E41),"|",COLUMN(BCTCR_06608!E41),",0",",0")</f>
        <v>666573,41|5,0,0</v>
      </c>
    </row>
    <row r="42" spans="1:5" x14ac:dyDescent="0.25">
      <c r="A42" t="str">
        <f>CONCATENATE(666678,",",ROW(BCTCR_06608!A42),"|",COLUMN(BCTCR_06608!A42),",0",",0")</f>
        <v>666678,42|1,0,0</v>
      </c>
      <c r="B42" t="str">
        <f>CONCATENATE(666844,",",ROW(BCTCR_06608!B42),"|",COLUMN(BCTCR_06608!B42),",0",",0")</f>
        <v>666844,42|2,0,0</v>
      </c>
      <c r="C42" t="str">
        <f>CONCATENATE(666746,",",ROW(BCTCR_06608!C42),"|",COLUMN(BCTCR_06608!C42),",0",",0")</f>
        <v>666746,42|3,0,0</v>
      </c>
      <c r="D42" t="str">
        <f>CONCATENATE(666879,",",ROW(BCTCR_06608!D42),"|",COLUMN(BCTCR_06608!D42),",0",",0")</f>
        <v>666879,42|4,0,0</v>
      </c>
      <c r="E42" t="str">
        <f>CONCATENATE(666549,",",ROW(BCTCR_06608!E42),"|",COLUMN(BCTCR_06608!E42),",0",",0")</f>
        <v>666549,42|5,0,0</v>
      </c>
    </row>
    <row r="43" spans="1:5" x14ac:dyDescent="0.25">
      <c r="A43" t="str">
        <f>CONCATENATE(666594,",",ROW(BCTCR_06608!A43),"|",COLUMN(BCTCR_06608!A43),",0",",0")</f>
        <v>666594,43|1,0,0</v>
      </c>
      <c r="B43" t="str">
        <f>CONCATENATE(666845,",",ROW(BCTCR_06608!B43),"|",COLUMN(BCTCR_06608!B43),",0",",0")</f>
        <v>666845,43|2,0,0</v>
      </c>
      <c r="C43" t="str">
        <f>CONCATENATE(666469,",",ROW(BCTCR_06608!C43),"|",COLUMN(BCTCR_06608!C43),",0",",0")</f>
        <v>666469,43|3,0,0</v>
      </c>
      <c r="D43" t="str">
        <f>CONCATENATE(666388,",",ROW(BCTCR_06608!D43),"|",COLUMN(BCTCR_06608!D43),",0",",0")</f>
        <v>666388,43|4,0,0</v>
      </c>
      <c r="E43" t="str">
        <f>CONCATENATE(666574,",",ROW(BCTCR_06608!E43),"|",COLUMN(BCTCR_06608!E43),",0",",0")</f>
        <v>666574,43|5,0,0</v>
      </c>
    </row>
    <row r="44" spans="1:5" x14ac:dyDescent="0.25">
      <c r="A44" t="str">
        <f>CONCATENATE(666617,",",ROW(BCTCR_06608!A44),"|",COLUMN(BCTCR_06608!A44),",0",",0")</f>
        <v>666617,44|1,0,0</v>
      </c>
      <c r="B44" t="str">
        <f>CONCATENATE(666649,",",ROW(BCTCR_06608!B44),"|",COLUMN(BCTCR_06608!B44),",0",",0")</f>
        <v>666649,44|2,0,0</v>
      </c>
      <c r="C44" t="str">
        <f>CONCATENATE(666452,",",ROW(BCTCR_06608!C44),"|",COLUMN(BCTCR_06608!C44),",0",",0")</f>
        <v>666452,44|3,0,0</v>
      </c>
      <c r="D44" t="str">
        <f>CONCATENATE(666342,",",ROW(BCTCR_06608!D44),"|",COLUMN(BCTCR_06608!D44),",0",",0")</f>
        <v>666342,44|4,0,0</v>
      </c>
      <c r="E44" t="str">
        <f>CONCATENATE(666323,",",ROW(BCTCR_06608!E44),"|",COLUMN(BCTCR_06608!E44),",0",",0")</f>
        <v>666323,44|5,0,0</v>
      </c>
    </row>
    <row r="45" spans="1:5" x14ac:dyDescent="0.25">
      <c r="A45" t="str">
        <f>CONCATENATE(666371,",",ROW(BCTCR_06608!A45),"|",COLUMN(BCTCR_06608!A45),",0",",0")</f>
        <v>666371,45|1,0,0</v>
      </c>
      <c r="B45" t="str">
        <f>CONCATENATE(666816,",",ROW(BCTCR_06608!B45),"|",COLUMN(BCTCR_06608!B45),",0",",0")</f>
        <v>666816,45|2,0,0</v>
      </c>
      <c r="C45" t="str">
        <f>CONCATENATE(666747,",",ROW(BCTCR_06608!C45),"|",COLUMN(BCTCR_06608!C45),",0",",0")</f>
        <v>666747,45|3,0,0</v>
      </c>
      <c r="D45" t="str">
        <f>CONCATENATE(666880,",",ROW(BCTCR_06608!D45),"|",COLUMN(BCTCR_06608!D45),",0",",0")</f>
        <v>666880,45|4,0,0</v>
      </c>
      <c r="E45" t="str">
        <f>CONCATENATE(666550,",",ROW(BCTCR_06608!E45),"|",COLUMN(BCTCR_06608!E45),",0",",0")</f>
        <v>666550,45|5,0,0</v>
      </c>
    </row>
    <row r="46" spans="1:5" x14ac:dyDescent="0.25">
      <c r="A46" t="str">
        <f>CONCATENATE(666665,",",ROW(BCTCR_06608!A46),"|",COLUMN(BCTCR_06608!A46),",0",",0")</f>
        <v>666665,46|1,0,0</v>
      </c>
      <c r="B46" t="str">
        <f>CONCATENATE(666521,",",ROW(BCTCR_06608!B46),"|",COLUMN(BCTCR_06608!B46),",0",",0")</f>
        <v>666521,46|2,0,0</v>
      </c>
      <c r="C46" t="str">
        <f>CONCATENATE(666748,",",ROW(BCTCR_06608!C46),"|",COLUMN(BCTCR_06608!C46),",0",",0")</f>
        <v>666748,46|3,0,0</v>
      </c>
      <c r="D46" t="str">
        <f>CONCATENATE(666881,",",ROW(BCTCR_06608!D46),"|",COLUMN(BCTCR_06608!D46),",0",",0")</f>
        <v>666881,46|4,0,0</v>
      </c>
      <c r="E46" t="str">
        <f>CONCATENATE(666551,",",ROW(BCTCR_06608!E46),"|",COLUMN(BCTCR_06608!E46),",0",",0")</f>
        <v>666551,46|5,0,0</v>
      </c>
    </row>
    <row r="47" spans="1:5" x14ac:dyDescent="0.25">
      <c r="A47" t="str">
        <f>CONCATENATE(666666,",",ROW(BCTCR_06608!A47),"|",COLUMN(BCTCR_06608!A47),",0",",0")</f>
        <v>666666,47|1,0,0</v>
      </c>
      <c r="B47" t="str">
        <f>CONCATENATE(666901,",",ROW(BCTCR_06608!B47),"|",COLUMN(BCTCR_06608!B47),",0",",0")</f>
        <v>666901,47|2,0,0</v>
      </c>
      <c r="C47" t="str">
        <f>CONCATENATE(666750,",",ROW(BCTCR_06608!C47),"|",COLUMN(BCTCR_06608!C47),",0",",0")</f>
        <v>666750,47|3,0,0</v>
      </c>
      <c r="D47" t="str">
        <f>CONCATENATE(666882,",",ROW(BCTCR_06608!D47),"|",COLUMN(BCTCR_06608!D47),",0",",0")</f>
        <v>666882,47|4,0,0</v>
      </c>
      <c r="E47" t="str">
        <f>CONCATENATE(666552,",",ROW(BCTCR_06608!E47),"|",COLUMN(BCTCR_06608!E47),",0",",0")</f>
        <v>666552,47|5,0,0</v>
      </c>
    </row>
    <row r="48" spans="1:5" x14ac:dyDescent="0.25">
      <c r="A48" t="str">
        <f>CONCATENATE(666537,",",ROW(BCTCR_06608!A48),"|",COLUMN(BCTCR_06608!A48),",0",",0")</f>
        <v>666537,48|1,0,0</v>
      </c>
      <c r="B48" t="str">
        <f>CONCATENATE(666333,",",ROW(BCTCR_06608!B48),"|",COLUMN(BCTCR_06608!B48),",0",",0")</f>
        <v>666333,48|2,0,0</v>
      </c>
      <c r="C48" t="str">
        <f>CONCATENATE(666470,",",ROW(BCTCR_06608!C48),"|",COLUMN(BCTCR_06608!C48),",0",",0")</f>
        <v>666470,48|3,0,0</v>
      </c>
      <c r="D48" t="str">
        <f>CONCATENATE(666389,",",ROW(BCTCR_06608!D48),"|",COLUMN(BCTCR_06608!D48),",0",",0")</f>
        <v>666389,48|4,0,0</v>
      </c>
      <c r="E48" t="str">
        <f>CONCATENATE(666575,",",ROW(BCTCR_06608!E48),"|",COLUMN(BCTCR_06608!E48),",0",",0")</f>
        <v>666575,48|5,0,0</v>
      </c>
    </row>
    <row r="49" spans="1:5" x14ac:dyDescent="0.25">
      <c r="A49" t="str">
        <f>CONCATENATE(666627,",",ROW(BCTCR_06608!A49),"|",COLUMN(BCTCR_06608!A49),",0",",0")</f>
        <v>666627,49|1,0,0</v>
      </c>
      <c r="B49" t="str">
        <f>CONCATENATE(666902,",",ROW(BCTCR_06608!B49),"|",COLUMN(BCTCR_06608!B49),",0",",0")</f>
        <v>666902,49|2,0,0</v>
      </c>
      <c r="C49" t="str">
        <f>CONCATENATE(666471,",",ROW(BCTCR_06608!C49),"|",COLUMN(BCTCR_06608!C49),",0",",0")</f>
        <v>666471,49|3,0,0</v>
      </c>
      <c r="D49" t="str">
        <f>CONCATENATE(666390,",",ROW(BCTCR_06608!D49),"|",COLUMN(BCTCR_06608!D49),",0",",0")</f>
        <v>666390,49|4,0,0</v>
      </c>
      <c r="E49" t="str">
        <f>CONCATENATE(666576,",",ROW(BCTCR_06608!E49),"|",COLUMN(BCTCR_06608!E49),",0",",0")</f>
        <v>666576,49|5,0,0</v>
      </c>
    </row>
    <row r="50" spans="1:5" x14ac:dyDescent="0.25">
      <c r="A50" t="str">
        <f>CONCATENATE(666595,",",ROW(BCTCR_06608!A50),"|",COLUMN(BCTCR_06608!A50),",0",",0")</f>
        <v>666595,50|1,0,0</v>
      </c>
      <c r="B50" t="str">
        <f>CONCATENATE(666903,",",ROW(BCTCR_06608!B50),"|",COLUMN(BCTCR_06608!B50),",0",",0")</f>
        <v>666903,50|2,0,0</v>
      </c>
      <c r="C50" t="str">
        <f>CONCATENATE(666472,",",ROW(BCTCR_06608!C50),"|",COLUMN(BCTCR_06608!C50),",0",",0")</f>
        <v>666472,50|3,0,0</v>
      </c>
      <c r="D50" t="str">
        <f>CONCATENATE(666391,",",ROW(BCTCR_06608!D50),"|",COLUMN(BCTCR_06608!D50),",0",",0")</f>
        <v>666391,50|4,0,0</v>
      </c>
      <c r="E50" t="str">
        <f>CONCATENATE(666577,",",ROW(BCTCR_06608!E50),"|",COLUMN(BCTCR_06608!E50),",0",",0")</f>
        <v>666577,50|5,0,0</v>
      </c>
    </row>
    <row r="51" spans="1:5" x14ac:dyDescent="0.25">
      <c r="A51" t="str">
        <f>CONCATENATE(666596,",",ROW(BCTCR_06608!A51),"|",COLUMN(BCTCR_06608!A51),",0",",0")</f>
        <v>666596,51|1,0,0</v>
      </c>
      <c r="B51" t="str">
        <f>CONCATENATE(666904,",",ROW(BCTCR_06608!B51),"|",COLUMN(BCTCR_06608!B51),",0",",0")</f>
        <v>666904,51|2,0,0</v>
      </c>
      <c r="C51" t="str">
        <f>CONCATENATE(666473,",",ROW(BCTCR_06608!C51),"|",COLUMN(BCTCR_06608!C51),",0",",0")</f>
        <v>666473,51|3,0,0</v>
      </c>
      <c r="D51" t="str">
        <f>CONCATENATE(666392,",",ROW(BCTCR_06608!D51),"|",COLUMN(BCTCR_06608!D51),",0",",0")</f>
        <v>666392,51|4,0,0</v>
      </c>
      <c r="E51" t="str">
        <f>CONCATENATE(666578,",",ROW(BCTCR_06608!E51),"|",COLUMN(BCTCR_06608!E51),",0",",0")</f>
        <v>666578,51|5,0,0</v>
      </c>
    </row>
    <row r="52" spans="1:5" x14ac:dyDescent="0.25">
      <c r="A52" t="str">
        <f>CONCATENATE(666618,",",ROW(BCTCR_06608!A52),"|",COLUMN(BCTCR_06608!A52),",0",",0")</f>
        <v>666618,52|1,0,0</v>
      </c>
      <c r="B52" t="str">
        <f>CONCATENATE(666905,",",ROW(BCTCR_06608!B52),"|",COLUMN(BCTCR_06608!B52),",0",",0")</f>
        <v>666905,52|2,0,0</v>
      </c>
      <c r="C52" t="str">
        <f>CONCATENATE(666453,",",ROW(BCTCR_06608!C52),"|",COLUMN(BCTCR_06608!C52),",0",",0")</f>
        <v>666453,52|3,0,0</v>
      </c>
      <c r="D52" t="str">
        <f>CONCATENATE(666343,",",ROW(BCTCR_06608!D52),"|",COLUMN(BCTCR_06608!D52),",0",",0")</f>
        <v>666343,52|4,0,0</v>
      </c>
      <c r="E52" t="str">
        <f>CONCATENATE(666260,",",ROW(BCTCR_06608!E52),"|",COLUMN(BCTCR_06608!E52),",0",",0")</f>
        <v>666260,52|5,0,0</v>
      </c>
    </row>
    <row r="53" spans="1:5" x14ac:dyDescent="0.25">
      <c r="A53" t="str">
        <f>CONCATENATE(666619,",",ROW(BCTCR_06608!A53),"|",COLUMN(BCTCR_06608!A53),",0",",0")</f>
        <v>666619,53|1,0,0</v>
      </c>
      <c r="B53" t="str">
        <f>CONCATENATE(666420,",",ROW(BCTCR_06608!B53),"|",COLUMN(BCTCR_06608!B53),",0",",0")</f>
        <v>666420,53|2,0,0</v>
      </c>
      <c r="C53" t="str">
        <f>CONCATENATE(666454,",",ROW(BCTCR_06608!C53),"|",COLUMN(BCTCR_06608!C53),",0",",0")</f>
        <v>666454,53|3,0,0</v>
      </c>
      <c r="D53" t="str">
        <f>CONCATENATE(666344,",",ROW(BCTCR_06608!D53),"|",COLUMN(BCTCR_06608!D53),",0",",0")</f>
        <v>666344,53|4,0,0</v>
      </c>
      <c r="E53" t="str">
        <f>CONCATENATE(666261,",",ROW(BCTCR_06608!E53),"|",COLUMN(BCTCR_06608!E53),",0",",0")</f>
        <v>666261,53|5,0,0</v>
      </c>
    </row>
    <row r="54" spans="1:5" x14ac:dyDescent="0.25">
      <c r="A54" t="str">
        <f>CONCATENATE(666646,",",ROW(BCTCR_06608!A54),"|",COLUMN(BCTCR_06608!A54),",0",",0")</f>
        <v>666646,54|1,0,0</v>
      </c>
      <c r="B54" t="str">
        <f>CONCATENATE(666243,",",ROW(BCTCR_06608!B54),"|",COLUMN(BCTCR_06608!B54),",0",",0")</f>
        <v>666243,54|2,0,0</v>
      </c>
      <c r="C54" t="str">
        <f>CONCATENATE(666474,",",ROW(BCTCR_06608!C54),"|",COLUMN(BCTCR_06608!C54),",0",",0")</f>
        <v>666474,54|3,0,0</v>
      </c>
      <c r="D54" t="str">
        <f>CONCATENATE(666393,",",ROW(BCTCR_06608!D54),"|",COLUMN(BCTCR_06608!D54),",0",",0")</f>
        <v>666393,54|4,0,0</v>
      </c>
      <c r="E54" t="str">
        <f>CONCATENATE(666579,",",ROW(BCTCR_06608!E54),"|",COLUMN(BCTCR_06608!E54),",0",",0")</f>
        <v>666579,54|5,0,0</v>
      </c>
    </row>
    <row r="55" spans="1:5" x14ac:dyDescent="0.25">
      <c r="A55" t="str">
        <f>CONCATENATE(666620,",",ROW(BCTCR_06608!A55),"|",COLUMN(BCTCR_06608!A55),",0",",0")</f>
        <v>666620,55|1,0,0</v>
      </c>
      <c r="B55" t="str">
        <f>CONCATENATE(666817,",",ROW(BCTCR_06608!B55),"|",COLUMN(BCTCR_06608!B55),",0",",0")</f>
        <v>666817,55|2,0,0</v>
      </c>
      <c r="C55" t="str">
        <f>CONCATENATE(666455,",",ROW(BCTCR_06608!C55),"|",COLUMN(BCTCR_06608!C55),",0",",0")</f>
        <v>666455,55|3,0,0</v>
      </c>
      <c r="D55" t="str">
        <f>CONCATENATE(666345,",",ROW(BCTCR_06608!D55),"|",COLUMN(BCTCR_06608!D55),",0",",0")</f>
        <v>666345,55|4,0,0</v>
      </c>
      <c r="E55" t="str">
        <f>CONCATENATE(666862,",",ROW(BCTCR_06608!E55),"|",COLUMN(BCTCR_06608!E55),",0",",0")</f>
        <v>666862,55|5,0,0</v>
      </c>
    </row>
    <row r="56" spans="1:5" x14ac:dyDescent="0.25">
      <c r="A56" t="str">
        <f>CONCATENATE(666621,",",ROW(BCTCR_06608!A56),"|",COLUMN(BCTCR_06608!A56),",0",",0")</f>
        <v>666621,56|1,0,0</v>
      </c>
      <c r="B56" t="str">
        <f>CONCATENATE(666871,",",ROW(BCTCR_06608!B56),"|",COLUMN(BCTCR_06608!B56),",0",",0")</f>
        <v>666871,56|2,0,0</v>
      </c>
      <c r="C56" t="str">
        <f>CONCATENATE(666456,",",ROW(BCTCR_06608!C56),"|",COLUMN(BCTCR_06608!C56),",0",",0")</f>
        <v>666456,56|3,0,0</v>
      </c>
      <c r="D56" t="str">
        <f>CONCATENATE(666346,",",ROW(BCTCR_06608!D56),"|",COLUMN(BCTCR_06608!D56),",0",",0")</f>
        <v>666346,56|4,0,0</v>
      </c>
      <c r="E56" t="str">
        <f>CONCATENATE(666863,",",ROW(BCTCR_06608!E56),"|",COLUMN(BCTCR_06608!E56),",0",",0")</f>
        <v>666863,56|5,0,0</v>
      </c>
    </row>
    <row r="57" spans="1:5" x14ac:dyDescent="0.25">
      <c r="A57" t="str">
        <f>CONCATENATE(666622,",",ROW(BCTCR_06608!A57),"|",COLUMN(BCTCR_06608!A57),",0",",0")</f>
        <v>666622,57|1,0,0</v>
      </c>
      <c r="B57" t="str">
        <f>CONCATENATE(666244,",",ROW(BCTCR_06608!B57),"|",COLUMN(BCTCR_06608!B57),",0",",0")</f>
        <v>666244,57|2,0,0</v>
      </c>
      <c r="C57" t="str">
        <f>CONCATENATE(666457,",",ROW(BCTCR_06608!C57),"|",COLUMN(BCTCR_06608!C57),",0",",0")</f>
        <v>666457,57|3,0,0</v>
      </c>
      <c r="D57" t="str">
        <f>CONCATENATE(666347,",",ROW(BCTCR_06608!D57),"|",COLUMN(BCTCR_06608!D57),",0",",0")</f>
        <v>666347,57|4,0,0</v>
      </c>
      <c r="E57" t="str">
        <f>CONCATENATE(666864,",",ROW(BCTCR_06608!E57),"|",COLUMN(BCTCR_06608!E57),",0",",0")</f>
        <v>666864,57|5,0,0</v>
      </c>
    </row>
    <row r="58" spans="1:5" x14ac:dyDescent="0.25">
      <c r="A58" t="str">
        <f>CONCATENATE(666891,",",ROW(BCTCR_06608!A58),"|",COLUMN(BCTCR_06608!A58),",0",",0")</f>
        <v>666891,58|1,0,0</v>
      </c>
      <c r="B58" t="str">
        <f>CONCATENATE(666818,",",ROW(BCTCR_06608!B58),"|",COLUMN(BCTCR_06608!B58),",0",",0")</f>
        <v>666818,58|2,0,0</v>
      </c>
      <c r="C58" t="str">
        <f>CONCATENATE(666475,",",ROW(BCTCR_06608!C58),"|",COLUMN(BCTCR_06608!C58),",0",",0")</f>
        <v>666475,58|3,0,0</v>
      </c>
      <c r="D58" t="str">
        <f>CONCATENATE(666394,",",ROW(BCTCR_06608!D58),"|",COLUMN(BCTCR_06608!D58),",0",",0")</f>
        <v>666394,58|4,0,0</v>
      </c>
      <c r="E58" t="str">
        <f>CONCATENATE(666580,",",ROW(BCTCR_06608!E58),"|",COLUMN(BCTCR_06608!E58),",0",",0")</f>
        <v>666580,58|5,0,0</v>
      </c>
    </row>
    <row r="59" spans="1:5" x14ac:dyDescent="0.25">
      <c r="A59" t="str">
        <f>CONCATENATE(666628,",",ROW(BCTCR_06608!A59),"|",COLUMN(BCTCR_06608!A59),",0",",0")</f>
        <v>666628,59|1,0,0</v>
      </c>
      <c r="B59" t="str">
        <f>CONCATENATE(666278,",",ROW(BCTCR_06608!B59),"|",COLUMN(BCTCR_06608!B59),",0",",0")</f>
        <v>666278,59|2,0,0</v>
      </c>
      <c r="C59" t="str">
        <f>CONCATENATE(666476,",",ROW(BCTCR_06608!C59),"|",COLUMN(BCTCR_06608!C59),",0",",0")</f>
        <v>666476,59|3,0,0</v>
      </c>
      <c r="D59" t="str">
        <f>CONCATENATE(666395,",",ROW(BCTCR_06608!D59),"|",COLUMN(BCTCR_06608!D59),",0",",0")</f>
        <v>666395,59|4,0,0</v>
      </c>
      <c r="E59" t="str">
        <f>CONCATENATE(666581,",",ROW(BCTCR_06608!E59),"|",COLUMN(BCTCR_06608!E59),",0",",0")</f>
        <v>666581,59|5,0,0</v>
      </c>
    </row>
    <row r="60" spans="1:5" x14ac:dyDescent="0.25">
      <c r="A60" t="str">
        <f>CONCATENATE(666667,",",ROW(BCTCR_06608!A60),"|",COLUMN(BCTCR_06608!A60),",0",",0")</f>
        <v>666667,60|1,0,0</v>
      </c>
      <c r="B60" t="str">
        <f>CONCATENATE(666279,",",ROW(BCTCR_06608!B60),"|",COLUMN(BCTCR_06608!B60),",0",",0")</f>
        <v>666279,60|2,0,0</v>
      </c>
      <c r="C60" t="str">
        <f>CONCATENATE(666751,",",ROW(BCTCR_06608!C60),"|",COLUMN(BCTCR_06608!C60),",0",",0")</f>
        <v>666751,60|3,0,0</v>
      </c>
      <c r="D60" t="str">
        <f>CONCATENATE(666696,",",ROW(BCTCR_06608!D60),"|",COLUMN(BCTCR_06608!D60),",0",",0")</f>
        <v>666696,60|4,0,0</v>
      </c>
      <c r="E60" t="str">
        <f>CONCATENATE(666553,",",ROW(BCTCR_06608!E60),"|",COLUMN(BCTCR_06608!E60),",0",",0")</f>
        <v>666553,60|5,0,0</v>
      </c>
    </row>
    <row r="61" spans="1:5" x14ac:dyDescent="0.25">
      <c r="A61" t="str">
        <f>CONCATENATE(666623,",",ROW(BCTCR_06608!A61),"|",COLUMN(BCTCR_06608!A61),",0",",0")</f>
        <v>666623,61|1,0,0</v>
      </c>
      <c r="B61" t="str">
        <f>CONCATENATE(666819,",",ROW(BCTCR_06608!B61),"|",COLUMN(BCTCR_06608!B61),",0",",0")</f>
        <v>666819,61|2,0,0</v>
      </c>
      <c r="C61" t="str">
        <f>CONCATENATE(666458,",",ROW(BCTCR_06608!C61),"|",COLUMN(BCTCR_06608!C61),",0",",0")</f>
        <v>666458,61|3,0,0</v>
      </c>
      <c r="D61" t="str">
        <f>CONCATENATE(666348,",",ROW(BCTCR_06608!D61),"|",COLUMN(BCTCR_06608!D61),",0",",0")</f>
        <v>666348,61|4,0,0</v>
      </c>
      <c r="E61" t="str">
        <f>CONCATENATE(666865,",",ROW(BCTCR_06608!E61),"|",COLUMN(BCTCR_06608!E61),",0",",0")</f>
        <v>666865,61|5,0,0</v>
      </c>
    </row>
    <row r="62" spans="1:5" x14ac:dyDescent="0.25">
      <c r="A62" t="str">
        <f>CONCATENATE(666597,",",ROW(BCTCR_06608!A62),"|",COLUMN(BCTCR_06608!A62),",0",",0")</f>
        <v>666597,62|1,0,0</v>
      </c>
      <c r="B62" t="str">
        <f>CONCATENATE(666280,",",ROW(BCTCR_06608!B62),"|",COLUMN(BCTCR_06608!B62),",0",",0")</f>
        <v>666280,62|2,0,0</v>
      </c>
      <c r="C62" t="str">
        <f>CONCATENATE(666477,",",ROW(BCTCR_06608!C62),"|",COLUMN(BCTCR_06608!C62),",0",",0")</f>
        <v>666477,62|3,0,0</v>
      </c>
      <c r="D62" t="str">
        <f>CONCATENATE(666396,",",ROW(BCTCR_06608!D62),"|",COLUMN(BCTCR_06608!D62),",0",",0")</f>
        <v>666396,62|4,0,0</v>
      </c>
      <c r="E62" t="str">
        <f>CONCATENATE(666582,",",ROW(BCTCR_06608!E62),"|",COLUMN(BCTCR_06608!E62),",0",",0")</f>
        <v>666582,62|5,0,0</v>
      </c>
    </row>
    <row r="63" spans="1:5" x14ac:dyDescent="0.25">
      <c r="A63" t="str">
        <f>CONCATENATE(666668,",",ROW(BCTCR_06608!A63),"|",COLUMN(BCTCR_06608!A63),",0",",0")</f>
        <v>666668,63|1,0,0</v>
      </c>
      <c r="B63" t="str">
        <f>CONCATENATE(666820,",",ROW(BCTCR_06608!B63),"|",COLUMN(BCTCR_06608!B63),",0",",0")</f>
        <v>666820,63|2,0,0</v>
      </c>
      <c r="C63" t="str">
        <f>CONCATENATE(666752,",",ROW(BCTCR_06608!C63),"|",COLUMN(BCTCR_06608!C63),",0",",0")</f>
        <v>666752,63|3,0,0</v>
      </c>
      <c r="D63" t="str">
        <f>CONCATENATE(666697,",",ROW(BCTCR_06608!D63),"|",COLUMN(BCTCR_06608!D63),",0",",0")</f>
        <v>666697,63|4,0,0</v>
      </c>
      <c r="E63" t="str">
        <f>CONCATENATE(666554,",",ROW(BCTCR_06608!E63),"|",COLUMN(BCTCR_06608!E63),",0",",0")</f>
        <v>666554,63|5,0,0</v>
      </c>
    </row>
    <row r="64" spans="1:5" x14ac:dyDescent="0.25">
      <c r="A64" t="str">
        <f>CONCATENATE(666624,",",ROW(BCTCR_06608!A64),"|",COLUMN(BCTCR_06608!A64),",0",",0")</f>
        <v>666624,64|1,0,0</v>
      </c>
      <c r="B64" t="str">
        <f>CONCATENATE(666421,",",ROW(BCTCR_06608!B64),"|",COLUMN(BCTCR_06608!B64),",0",",0")</f>
        <v>666421,64|2,0,0</v>
      </c>
      <c r="C64" t="str">
        <f>CONCATENATE(666459,",",ROW(BCTCR_06608!C64),"|",COLUMN(BCTCR_06608!C64),",0",",0")</f>
        <v>666459,64|3,0,0</v>
      </c>
      <c r="D64" t="str">
        <f>CONCATENATE(666349,",",ROW(BCTCR_06608!D64),"|",COLUMN(BCTCR_06608!D64),",0",",0")</f>
        <v>666349,64|4,0,0</v>
      </c>
      <c r="E64" t="str">
        <f>CONCATENATE(666866,",",ROW(BCTCR_06608!E64),"|",COLUMN(BCTCR_06608!E64),",0",",0")</f>
        <v>666866,64|5,0,0</v>
      </c>
    </row>
    <row r="65" spans="1:5" x14ac:dyDescent="0.25">
      <c r="A65" t="str">
        <f>CONCATENATE(666669,",",ROW(BCTCR_06608!A65),"|",COLUMN(BCTCR_06608!A65),",0",",0")</f>
        <v>666669,65|1,0,0</v>
      </c>
      <c r="B65" t="str">
        <f>CONCATENATE(666872,",",ROW(BCTCR_06608!B65),"|",COLUMN(BCTCR_06608!B65),",0",",0")</f>
        <v>666872,65|2,0,0</v>
      </c>
      <c r="C65" t="str">
        <f>CONCATENATE(666753,",",ROW(BCTCR_06608!C65),"|",COLUMN(BCTCR_06608!C65),",0",",0")</f>
        <v>666753,65|3,0,0</v>
      </c>
      <c r="D65" t="str">
        <f>CONCATENATE(666698,",",ROW(BCTCR_06608!D65),"|",COLUMN(BCTCR_06608!D65),",0",",0")</f>
        <v>666698,65|4,0,0</v>
      </c>
      <c r="E65" t="str">
        <f>CONCATENATE(666555,",",ROW(BCTCR_06608!E65),"|",COLUMN(BCTCR_06608!E65),",0",",0")</f>
        <v>666555,65|5,0,0</v>
      </c>
    </row>
    <row r="66" spans="1:5" x14ac:dyDescent="0.25">
      <c r="A66" t="str">
        <f>CONCATENATE(666515,",",ROW(BCTCR_06608!A66),"|",COLUMN(BCTCR_06608!A66),",0",",0")</f>
        <v>666515,66|1,0,0</v>
      </c>
      <c r="B66" t="str">
        <f>CONCATENATE(666281,",",ROW(BCTCR_06608!B66),"|",COLUMN(BCTCR_06608!B66),",0",",0")</f>
        <v>666281,66|2,0,0</v>
      </c>
      <c r="C66" t="str">
        <f>CONCATENATE(666460,",",ROW(BCTCR_06608!C66),"|",COLUMN(BCTCR_06608!C66),",0",",0")</f>
        <v>666460,66|3,0,0</v>
      </c>
      <c r="D66" t="str">
        <f>CONCATENATE(666350,",",ROW(BCTCR_06608!D66),"|",COLUMN(BCTCR_06608!D66),",0",",0")</f>
        <v>666350,66|4,0,0</v>
      </c>
      <c r="E66" t="str">
        <f>CONCATENATE(666867,",",ROW(BCTCR_06608!E66),"|",COLUMN(BCTCR_06608!E66),",0",",0")</f>
        <v>666867,66|5,0,0</v>
      </c>
    </row>
    <row r="67" spans="1:5" x14ac:dyDescent="0.25">
      <c r="A67" t="str">
        <f>CONCATENATE(666603,",",ROW(BCTCR_06608!A67),"|",COLUMN(BCTCR_06608!A67),",0",",0")</f>
        <v>666603,67|1,0,0</v>
      </c>
      <c r="B67" t="str">
        <f>CONCATENATE(666821,",",ROW(BCTCR_06608!B67),"|",COLUMN(BCTCR_06608!B67),",0",",0")</f>
        <v>666821,67|2,0,0</v>
      </c>
      <c r="C67" t="str">
        <f>CONCATENATE(666478,",",ROW(BCTCR_06608!C67),"|",COLUMN(BCTCR_06608!C67),",0",",0")</f>
        <v>666478,67|3,0,0</v>
      </c>
      <c r="D67" t="str">
        <f>CONCATENATE(666397,",",ROW(BCTCR_06608!D67),"|",COLUMN(BCTCR_06608!D67),",0",",0")</f>
        <v>666397,67|4,0,0</v>
      </c>
      <c r="E67" t="str">
        <f>CONCATENATE(666583,",",ROW(BCTCR_06608!E67),"|",COLUMN(BCTCR_06608!E67),",0",",0")</f>
        <v>666583,67|5,0,0</v>
      </c>
    </row>
    <row r="68" spans="1:5" x14ac:dyDescent="0.25">
      <c r="A68" t="str">
        <f>CONCATENATE(666638,",",ROW(BCTCR_06608!A68),"|",COLUMN(BCTCR_06608!A68),",0",",0")</f>
        <v>666638,68|1,0,0</v>
      </c>
      <c r="B68" t="str">
        <f>CONCATENATE(666282,",",ROW(BCTCR_06608!B68),"|",COLUMN(BCTCR_06608!B68),",0",",0")</f>
        <v>666282,68|2,0,0</v>
      </c>
      <c r="C68" t="str">
        <f>CONCATENATE(666479,",",ROW(BCTCR_06608!C68),"|",COLUMN(BCTCR_06608!C68),",0",",0")</f>
        <v>666479,68|3,0,0</v>
      </c>
      <c r="D68" t="str">
        <f>CONCATENATE(666398,",",ROW(BCTCR_06608!D68),"|",COLUMN(BCTCR_06608!D68),",0",",0")</f>
        <v>666398,68|4,0,0</v>
      </c>
      <c r="E68" t="str">
        <f>CONCATENATE(666584,",",ROW(BCTCR_06608!E68),"|",COLUMN(BCTCR_06608!E68),",0",",0")</f>
        <v>666584,68|5,0,0</v>
      </c>
    </row>
    <row r="69" spans="1:5" x14ac:dyDescent="0.25">
      <c r="A69" t="str">
        <f>CONCATENATE(666604,",",ROW(BCTCR_06608!A69),"|",COLUMN(BCTCR_06608!A69),",0",",0")</f>
        <v>666604,69|1,0,0</v>
      </c>
      <c r="B69" t="str">
        <f>CONCATENATE(666283,",",ROW(BCTCR_06608!B69),"|",COLUMN(BCTCR_06608!B69),",0",",0")</f>
        <v>666283,69|2,0,0</v>
      </c>
      <c r="C69" t="str">
        <f>CONCATENATE(666480,",",ROW(BCTCR_06608!C69),"|",COLUMN(BCTCR_06608!C69),",0",",0")</f>
        <v>666480,69|3,0,0</v>
      </c>
      <c r="D69" t="str">
        <f>CONCATENATE(666399,",",ROW(BCTCR_06608!D69),"|",COLUMN(BCTCR_06608!D69),",0",",0")</f>
        <v>666399,69|4,0,0</v>
      </c>
      <c r="E69" t="str">
        <f>CONCATENATE(666585,",",ROW(BCTCR_06608!E69),"|",COLUMN(BCTCR_06608!E69),",0",",0")</f>
        <v>666585,69|5,0,0</v>
      </c>
    </row>
    <row r="70" spans="1:5" x14ac:dyDescent="0.25">
      <c r="A70" t="str">
        <f>CONCATENATE(666629,",",ROW(BCTCR_06608!A70),"|",COLUMN(BCTCR_06608!A70),",0",",0")</f>
        <v>666629,70|1,0,0</v>
      </c>
      <c r="B70" t="str">
        <f>CONCATENATE(666873,",",ROW(BCTCR_06608!B70),"|",COLUMN(BCTCR_06608!B70),",0",",0")</f>
        <v>666873,70|2,0,0</v>
      </c>
      <c r="C70" t="str">
        <f>CONCATENATE(666481,",",ROW(BCTCR_06608!C70),"|",COLUMN(BCTCR_06608!C70),",0",",0")</f>
        <v>666481,70|3,0,0</v>
      </c>
      <c r="D70" t="str">
        <f>CONCATENATE(666400,",",ROW(BCTCR_06608!D70),"|",COLUMN(BCTCR_06608!D70),",0",",0")</f>
        <v>666400,70|4,0,0</v>
      </c>
      <c r="E70" t="str">
        <f>CONCATENATE(666586,",",ROW(BCTCR_06608!E70),"|",COLUMN(BCTCR_06608!E70),",0",",0")</f>
        <v>666586,70|5,0,0</v>
      </c>
    </row>
    <row r="71" spans="1:5" x14ac:dyDescent="0.25">
      <c r="A71" t="str">
        <f>CONCATENATE(666670,",",ROW(BCTCR_06608!A71),"|",COLUMN(BCTCR_06608!A71),",0",",0")</f>
        <v>666670,71|1,0,0</v>
      </c>
      <c r="B71" t="str">
        <f>CONCATENATE(666284,",",ROW(BCTCR_06608!B71),"|",COLUMN(BCTCR_06608!B71),",0",",0")</f>
        <v>666284,71|2,0,0</v>
      </c>
      <c r="C71" t="str">
        <f>CONCATENATE(666754,",",ROW(BCTCR_06608!C71),"|",COLUMN(BCTCR_06608!C71),",0",",0")</f>
        <v>666754,71|3,0,0</v>
      </c>
      <c r="D71" t="str">
        <f>CONCATENATE(666699,",",ROW(BCTCR_06608!D71),"|",COLUMN(BCTCR_06608!D71),",0",",0")</f>
        <v>666699,71|4,0,0</v>
      </c>
      <c r="E71" t="str">
        <f>CONCATENATE(666556,",",ROW(BCTCR_06608!E71),"|",COLUMN(BCTCR_06608!E71),",0",",0")</f>
        <v>666556,71|5,0,0</v>
      </c>
    </row>
    <row r="72" spans="1:5" x14ac:dyDescent="0.25">
      <c r="A72" t="str">
        <f>CONCATENATE(666431,",",ROW(BCTCR_06608!A72),"|",COLUMN(BCTCR_06608!A72),",0",",0")</f>
        <v>666431,72|1,0,0</v>
      </c>
      <c r="B72" t="str">
        <f>CONCATENATE(666661,",",ROW(BCTCR_06608!B72),"|",COLUMN(BCTCR_06608!B72),",0",",0")</f>
        <v>666661,72|2,0,0</v>
      </c>
      <c r="C72" t="str">
        <f>CONCATENATE(666599,",",ROW(BCTCR_06608!C72),"|",COLUMN(BCTCR_06608!C72),",0",",0")</f>
        <v>666599,72|3,0,0</v>
      </c>
      <c r="D72" t="str">
        <f>CONCATENATE(666662,",",ROW(BCTCR_06608!D72),"|",COLUMN(BCTCR_06608!D72),",0",",0")</f>
        <v>666662,72|4,0,0</v>
      </c>
      <c r="E72" t="str">
        <f>CONCATENATE(666663,",",ROW(BCTCR_06608!E72),"|",COLUMN(BCTCR_06608!E72),",0",",0")</f>
        <v>666663,72|5,0,0</v>
      </c>
    </row>
    <row r="73" spans="1:5" x14ac:dyDescent="0.25">
      <c r="A73" t="str">
        <f>CONCATENATE(666605,",",ROW(BCTCR_06608!A73),"|",COLUMN(BCTCR_06608!A73),",0",",0")</f>
        <v>666605,73|1,0,0</v>
      </c>
      <c r="B73" t="str">
        <f>CONCATENATE(666822,",",ROW(BCTCR_06608!B73),"|",COLUMN(BCTCR_06608!B73),",0",",0")</f>
        <v>666822,73|2,0,0</v>
      </c>
      <c r="C73" t="str">
        <f>CONCATENATE(666482,",",ROW(BCTCR_06608!C73),"|",COLUMN(BCTCR_06608!C73),",0",",0")</f>
        <v>666482,73|3,0,0</v>
      </c>
      <c r="D73" t="str">
        <f>CONCATENATE(666401,",",ROW(BCTCR_06608!D73),"|",COLUMN(BCTCR_06608!D73),",0",",0")</f>
        <v>666401,73|4,0,0</v>
      </c>
      <c r="E73" t="str">
        <f>CONCATENATE(666334,",",ROW(BCTCR_06608!E73),"|",COLUMN(BCTCR_06608!E73),",0",",0")</f>
        <v>666334,73|5,0,0</v>
      </c>
    </row>
    <row r="74" spans="1:5" x14ac:dyDescent="0.25">
      <c r="A74" t="str">
        <f>CONCATENATE(666606,",",ROW(BCTCR_06608!A74),"|",COLUMN(BCTCR_06608!A74),",0",",0")</f>
        <v>666606,74|1,0,0</v>
      </c>
      <c r="B74" t="str">
        <f>CONCATENATE(666823,",",ROW(BCTCR_06608!B74),"|",COLUMN(BCTCR_06608!B74),",0",",0")</f>
        <v>666823,74|2,0,0</v>
      </c>
      <c r="C74" t="str">
        <f>CONCATENATE(666483,",",ROW(BCTCR_06608!C74),"|",COLUMN(BCTCR_06608!C74),",0",",0")</f>
        <v>666483,74|3,0,0</v>
      </c>
      <c r="D74" t="str">
        <f>CONCATENATE(666402,",",ROW(BCTCR_06608!D74),"|",COLUMN(BCTCR_06608!D74),",0",",0")</f>
        <v>666402,74|4,0,0</v>
      </c>
      <c r="E74" t="str">
        <f>CONCATENATE(666335,",",ROW(BCTCR_06608!E74),"|",COLUMN(BCTCR_06608!E74),",0",",0")</f>
        <v>666335,74|5,0,0</v>
      </c>
    </row>
    <row r="75" spans="1:5" x14ac:dyDescent="0.25">
      <c r="A75" t="str">
        <f>CONCATENATE(666639,",",ROW(BCTCR_06608!A75),"|",COLUMN(BCTCR_06608!A75),",0",",0")</f>
        <v>666639,75|1,0,0</v>
      </c>
      <c r="B75" t="str">
        <f>CONCATENATE(666285,",",ROW(BCTCR_06608!B75),"|",COLUMN(BCTCR_06608!B75),",0",",0")</f>
        <v>666285,75|2,0,0</v>
      </c>
      <c r="C75" t="str">
        <f>CONCATENATE(666484,",",ROW(BCTCR_06608!C75),"|",COLUMN(BCTCR_06608!C75),",0",",0")</f>
        <v>666484,75|3,0,0</v>
      </c>
      <c r="D75" t="str">
        <f>CONCATENATE(666434,",",ROW(BCTCR_06608!D75),"|",COLUMN(BCTCR_06608!D75),",0",",0")</f>
        <v>666434,75|4,0,0</v>
      </c>
      <c r="E75" t="str">
        <f>CONCATENATE(666336,",",ROW(BCTCR_06608!E75),"|",COLUMN(BCTCR_06608!E75),",0",",0")</f>
        <v>666336,75|5,0,0</v>
      </c>
    </row>
    <row r="76" spans="1:5" x14ac:dyDescent="0.25">
      <c r="A76" t="str">
        <f>CONCATENATE(666671,",",ROW(BCTCR_06608!A76),"|",COLUMN(BCTCR_06608!A76),",0",",0")</f>
        <v>666671,76|1,0,0</v>
      </c>
      <c r="B76" t="str">
        <f>CONCATENATE(666824,",",ROW(BCTCR_06608!B76),"|",COLUMN(BCTCR_06608!B76),",0",",0")</f>
        <v>666824,76|2,0,0</v>
      </c>
      <c r="C76" t="str">
        <f>CONCATENATE(666755,",",ROW(BCTCR_06608!C76),"|",COLUMN(BCTCR_06608!C76),",0",",0")</f>
        <v>666755,76|3,0,0</v>
      </c>
      <c r="D76" t="str">
        <f>CONCATENATE(666849,",",ROW(BCTCR_06608!D76),"|",COLUMN(BCTCR_06608!D76),",0",",0")</f>
        <v>666849,76|4,0,0</v>
      </c>
      <c r="E76" t="str">
        <f>CONCATENATE(666557,",",ROW(BCTCR_06608!E76),"|",COLUMN(BCTCR_06608!E76),",0",",0")</f>
        <v>666557,76|5,0,0</v>
      </c>
    </row>
    <row r="77" spans="1:5" x14ac:dyDescent="0.25">
      <c r="A77" t="str">
        <f>CONCATENATE(666640,",",ROW(BCTCR_06608!A77),"|",COLUMN(BCTCR_06608!A77),",0",",0")</f>
        <v>666640,77|1,0,0</v>
      </c>
      <c r="B77" t="str">
        <f>CONCATENATE(666286,",",ROW(BCTCR_06608!B77),"|",COLUMN(BCTCR_06608!B77),",0",",0")</f>
        <v>666286,77|2,0,0</v>
      </c>
      <c r="C77" t="str">
        <f>CONCATENATE(666485,",",ROW(BCTCR_06608!C77),"|",COLUMN(BCTCR_06608!C77),",0",",0")</f>
        <v>666485,77|3,0,0</v>
      </c>
      <c r="D77" t="str">
        <f>CONCATENATE(666435,",",ROW(BCTCR_06608!D77),"|",COLUMN(BCTCR_06608!D77),",0",",0")</f>
        <v>666435,77|4,0,0</v>
      </c>
      <c r="E77" t="str">
        <f>CONCATENATE(666337,",",ROW(BCTCR_06608!E77),"|",COLUMN(BCTCR_06608!E77),",0",",0")</f>
        <v>666337,77|5,0,0</v>
      </c>
    </row>
    <row r="78" spans="1:5" x14ac:dyDescent="0.25">
      <c r="A78" t="str">
        <f>CONCATENATE(666633,",",ROW(BCTCR_06608!A78),"|",COLUMN(BCTCR_06608!A78),",0",",0")</f>
        <v>666633,78|1,0,0</v>
      </c>
      <c r="B78" t="str">
        <f>CONCATENATE(666825,",",ROW(BCTCR_06608!B78),"|",COLUMN(BCTCR_06608!B78),",0",",0")</f>
        <v>666825,78|2,0,0</v>
      </c>
      <c r="C78" t="str">
        <f>CONCATENATE(666486,",",ROW(BCTCR_06608!C78),"|",COLUMN(BCTCR_06608!C78),",0",",0")</f>
        <v>666486,78|3,0,0</v>
      </c>
      <c r="D78" t="str">
        <f>CONCATENATE(666436,",",ROW(BCTCR_06608!D78),"|",COLUMN(BCTCR_06608!D78),",0",",0")</f>
        <v>666436,78|4,0,0</v>
      </c>
      <c r="E78" t="str">
        <f>CONCATENATE(666338,",",ROW(BCTCR_06608!E78),"|",COLUMN(BCTCR_06608!E78),",0",",0")</f>
        <v>666338,78|5,0,0</v>
      </c>
    </row>
    <row r="79" spans="1:5" x14ac:dyDescent="0.25">
      <c r="A79" t="str">
        <f>CONCATENATE(666265,",",ROW(BCTCR_06608!A79),"|",COLUMN(BCTCR_06608!A79),",0",",0")</f>
        <v>666265,79|1,0,0</v>
      </c>
      <c r="B79" t="str">
        <f>CONCATENATE(666826,",",ROW(BCTCR_06608!B79),"|",COLUMN(BCTCR_06608!B79),",0",",0")</f>
        <v>666826,79|2,0,0</v>
      </c>
      <c r="C79" t="str">
        <f>CONCATENATE(666487,",",ROW(BCTCR_06608!C79),"|",COLUMN(BCTCR_06608!C79),",0",",0")</f>
        <v>666487,79|3,0,0</v>
      </c>
      <c r="D79" t="str">
        <f>CONCATENATE(666437,",",ROW(BCTCR_06608!D79),"|",COLUMN(BCTCR_06608!D79),",0",",0")</f>
        <v>666437,79|4,0,0</v>
      </c>
      <c r="E79" t="str">
        <f>CONCATENATE(666339,",",ROW(BCTCR_06608!E79),"|",COLUMN(BCTCR_06608!E79),",0",",0")</f>
        <v>666339,79|5,0,0</v>
      </c>
    </row>
    <row r="80" spans="1:5" x14ac:dyDescent="0.25">
      <c r="A80" t="str">
        <f>CONCATENATE(666292,",",ROW(BCTCR_06608!A80),"|",COLUMN(BCTCR_06608!A80),",0",",0")</f>
        <v>666292,80|1,0,0</v>
      </c>
      <c r="B80" t="str">
        <f>CONCATENATE(666522,",",ROW(BCTCR_06608!B80),"|",COLUMN(BCTCR_06608!B80),",0",",0")</f>
        <v>666522,80|2,0,0</v>
      </c>
      <c r="C80" t="str">
        <f>CONCATENATE(666768,",",ROW(BCTCR_06608!C80),"|",COLUMN(BCTCR_06608!C80),",0",",0")</f>
        <v>666768,80|3,0,0</v>
      </c>
      <c r="D80" t="str">
        <f>CONCATENATE(666769,",",ROW(BCTCR_06608!D80),"|",COLUMN(BCTCR_06608!D80),",0",",0")</f>
        <v>666769,80|4,0,0</v>
      </c>
      <c r="E80" t="str">
        <f>CONCATENATE(666545,",",ROW(BCTCR_06608!E80),"|",COLUMN(BCTCR_06608!E80),",0",",0")</f>
        <v>666545,80|5,0,0</v>
      </c>
    </row>
    <row r="81" spans="1:5" x14ac:dyDescent="0.25">
      <c r="A81" t="str">
        <f>CONCATENATE(666293,",",ROW(BCTCR_06608!A81),"|",COLUMN(BCTCR_06608!A81),",0",",0")</f>
        <v>666293,81|1,0,0</v>
      </c>
      <c r="B81" t="str">
        <f>CONCATENATE(666827,",",ROW(BCTCR_06608!B81),"|",COLUMN(BCTCR_06608!B81),",0",",0")</f>
        <v>666827,81|2,0,0</v>
      </c>
      <c r="C81" t="str">
        <f>CONCATENATE(666743,",",ROW(BCTCR_06608!C81),"|",COLUMN(BCTCR_06608!C81),",0",",0")</f>
        <v>666743,81|3,0,0</v>
      </c>
      <c r="D81" t="str">
        <f>CONCATENATE(666876,",",ROW(BCTCR_06608!D81),"|",COLUMN(BCTCR_06608!D81),",0",",0")</f>
        <v>666876,81|4,0,0</v>
      </c>
      <c r="E81" t="str">
        <f>CONCATENATE(666546,",",ROW(BCTCR_06608!E81),"|",COLUMN(BCTCR_06608!E81),",0",",0")</f>
        <v>666546,81|5,0,0</v>
      </c>
    </row>
    <row r="82" spans="1:5" x14ac:dyDescent="0.25">
      <c r="A82" t="str">
        <f>CONCATENATE(666294,",",ROW(BCTCR_06608!A82),"|",COLUMN(BCTCR_06608!A82),",0",",0")</f>
        <v>666294,82|1,0,0</v>
      </c>
      <c r="B82" t="str">
        <f>CONCATENATE(666523,",",ROW(BCTCR_06608!B82),"|",COLUMN(BCTCR_06608!B82),",0",",0")</f>
        <v>666523,82|2,0,0</v>
      </c>
      <c r="C82" t="str">
        <f>CONCATENATE(666744,",",ROW(BCTCR_06608!C82),"|",COLUMN(BCTCR_06608!C82),",0",",0")</f>
        <v>666744,82|3,0,0</v>
      </c>
      <c r="D82" t="str">
        <f>CONCATENATE(666877,",",ROW(BCTCR_06608!D82),"|",COLUMN(BCTCR_06608!D82),",0",",0")</f>
        <v>666877,82|4,0,0</v>
      </c>
      <c r="E82" t="str">
        <f>CONCATENATE(666547,",",ROW(BCTCR_06608!E82),"|",COLUMN(BCTCR_06608!E82),",0",",0")</f>
        <v>666547,82|5,0,0</v>
      </c>
    </row>
    <row r="83" spans="1:5" x14ac:dyDescent="0.25">
      <c r="A83" t="str">
        <f>CONCATENATE(666295,",",ROW(BCTCR_06608!A83),"|",COLUMN(BCTCR_06608!A83),",0",",0")</f>
        <v>666295,83|1,0,0</v>
      </c>
      <c r="B83" t="str">
        <f>CONCATENATE(666287,",",ROW(BCTCR_06608!B83),"|",COLUMN(BCTCR_06608!B83),",0",",0")</f>
        <v>666287,83|2,0,0</v>
      </c>
      <c r="C83" t="str">
        <f>CONCATENATE(666488,",",ROW(BCTCR_06608!C83),"|",COLUMN(BCTCR_06608!C83),",0",",0")</f>
        <v>666488,83|3,0,0</v>
      </c>
      <c r="D83" t="str">
        <f>CONCATENATE(666438,",",ROW(BCTCR_06608!D83),"|",COLUMN(BCTCR_06608!D83),",0",",0")</f>
        <v>666438,83|4,0,0</v>
      </c>
      <c r="E83" t="str">
        <f>CONCATENATE(666650,",",ROW(BCTCR_06608!E83),"|",COLUMN(BCTCR_06608!E83),",0",",0")</f>
        <v>666650,83|5,0,0</v>
      </c>
    </row>
    <row r="84" spans="1:5" x14ac:dyDescent="0.25">
      <c r="A84" t="str">
        <f>CONCATENATE(666647,",",ROW(BCTCR_06608!A84),"|",COLUMN(BCTCR_06608!A84),",0",",0")</f>
        <v>666647,84|1,0,0</v>
      </c>
      <c r="B84" t="str">
        <f>CONCATENATE(666288,",",ROW(BCTCR_06608!B84),"|",COLUMN(BCTCR_06608!B84),",0",",0")</f>
        <v>666288,84|2,0,0</v>
      </c>
      <c r="C84" t="str">
        <f>CONCATENATE(666489,",",ROW(BCTCR_06608!C84),"|",COLUMN(BCTCR_06608!C84),",0",",0")</f>
        <v>666489,84|3,0,0</v>
      </c>
      <c r="D84" t="str">
        <f>CONCATENATE(666439,",",ROW(BCTCR_06608!D84),"|",COLUMN(BCTCR_06608!D84),",0",",0")</f>
        <v>666439,84|4,0,0</v>
      </c>
      <c r="E84" t="str">
        <f>CONCATENATE(666651,",",ROW(BCTCR_06608!E84),"|",COLUMN(BCTCR_06608!E84),",0",",0")</f>
        <v>666651,84|5,0,0</v>
      </c>
    </row>
    <row r="85" spans="1:5" x14ac:dyDescent="0.25">
      <c r="A85" t="str">
        <f>CONCATENATE(666648,",",ROW(BCTCR_06608!A85),"|",COLUMN(BCTCR_06608!A85),",0",",0")</f>
        <v>666648,85|1,0,0</v>
      </c>
      <c r="B85" t="str">
        <f>CONCATENATE(666289,",",ROW(BCTCR_06608!B85),"|",COLUMN(BCTCR_06608!B85),",0",",0")</f>
        <v>666289,85|2,0,0</v>
      </c>
      <c r="C85" t="str">
        <f>CONCATENATE(666490,",",ROW(BCTCR_06608!C85),"|",COLUMN(BCTCR_06608!C85),",0",",0")</f>
        <v>666490,85|3,0,0</v>
      </c>
      <c r="D85" t="str">
        <f>CONCATENATE(666538,",",ROW(BCTCR_06608!D85),"|",COLUMN(BCTCR_06608!D85),",0",",0")</f>
        <v>666538,85|4,0,0</v>
      </c>
      <c r="E85" t="str">
        <f>CONCATENATE(666652,",",ROW(BCTCR_06608!E85),"|",COLUMN(BCTCR_06608!E85),",0",",0")</f>
        <v>666652,85|5,0,0</v>
      </c>
    </row>
    <row r="86" spans="1:5" x14ac:dyDescent="0.25">
      <c r="A86" t="str">
        <f>CONCATENATE(666702,",",ROW(BCTCR_06608!A86),"|",COLUMN(BCTCR_06608!A86),",0",",0")</f>
        <v>666702,86|1,0,0</v>
      </c>
      <c r="B86" t="str">
        <f>CONCATENATE(666828,",",ROW(BCTCR_06608!B86),"|",COLUMN(BCTCR_06608!B86),",0",",0")</f>
        <v>666828,86|2,0,0</v>
      </c>
      <c r="C86" t="str">
        <f>CONCATENATE(666491,",",ROW(BCTCR_06608!C86),"|",COLUMN(BCTCR_06608!C86),",0",",0")</f>
        <v>666491,86|3,0,0</v>
      </c>
      <c r="D86" t="str">
        <f>CONCATENATE(666266,",",ROW(BCTCR_06608!D86),"|",COLUMN(BCTCR_06608!D86),",0",",0")</f>
        <v>666266,86|4,0,0</v>
      </c>
      <c r="E86" t="str">
        <f>CONCATENATE(666653,",",ROW(BCTCR_06608!E86),"|",COLUMN(BCTCR_06608!E86),",0",",0")</f>
        <v>666653,86|5,0,0</v>
      </c>
    </row>
    <row r="87" spans="1:5" x14ac:dyDescent="0.25">
      <c r="A87" t="str">
        <f>CONCATENATE(666700,",",ROW(BCTCR_06608!A87),"|",COLUMN(BCTCR_06608!A87),",0",",0")</f>
        <v>666700,87|1,0,0</v>
      </c>
      <c r="B87" t="str">
        <f>CONCATENATE(666290,",",ROW(BCTCR_06608!B87),"|",COLUMN(BCTCR_06608!B87),",0",",0")</f>
        <v>666290,87|2,0,0</v>
      </c>
      <c r="C87" t="str">
        <f>CONCATENATE(666492,",",ROW(BCTCR_06608!C87),"|",COLUMN(BCTCR_06608!C87),",0",",0")</f>
        <v>666492,87|3,0,0</v>
      </c>
      <c r="D87" t="str">
        <f>CONCATENATE(666267,",",ROW(BCTCR_06608!D87),"|",COLUMN(BCTCR_06608!D87),",0",",0")</f>
        <v>666267,87|4,0,0</v>
      </c>
      <c r="E87" t="str">
        <f>CONCATENATE(666654,",",ROW(BCTCR_06608!E87),"|",COLUMN(BCTCR_06608!E87),",0",",0")</f>
        <v>666654,87|5,0,0</v>
      </c>
    </row>
    <row r="88" spans="1:5" x14ac:dyDescent="0.25">
      <c r="A88" t="str">
        <f>CONCATENATE(666701,",",ROW(BCTCR_06608!A88),"|",COLUMN(BCTCR_06608!A88),",0",",0")</f>
        <v>666701,88|1,0,0</v>
      </c>
      <c r="B88" t="str">
        <f>CONCATENATE(666291,",",ROW(BCTCR_06608!B88),"|",COLUMN(BCTCR_06608!B88),",0",",0")</f>
        <v>666291,88|2,0,0</v>
      </c>
      <c r="C88" t="str">
        <f>CONCATENATE(666493,",",ROW(BCTCR_06608!C88),"|",COLUMN(BCTCR_06608!C88),",0",",0")</f>
        <v>666493,88|3,0,0</v>
      </c>
      <c r="D88" t="str">
        <f>CONCATENATE(666268,",",ROW(BCTCR_06608!D88),"|",COLUMN(BCTCR_06608!D88),",0",",0")</f>
        <v>666268,88|4,0,0</v>
      </c>
      <c r="E88" t="str">
        <f>CONCATENATE(666655,",",ROW(BCTCR_06608!E88),"|",COLUMN(BCTCR_06608!E88),",0",",0")</f>
        <v>666655,88|5,0,0</v>
      </c>
    </row>
    <row r="89" spans="1:5" x14ac:dyDescent="0.25">
      <c r="A89" t="str">
        <f>CONCATENATE(666703,",",ROW(BCTCR_06608!A89),"|",COLUMN(BCTCR_06608!A89),",0",",0")</f>
        <v>666703,89|1,0,0</v>
      </c>
      <c r="B89" t="str">
        <f>CONCATENATE(666296,",",ROW(BCTCR_06608!B89),"|",COLUMN(BCTCR_06608!B89),",0",",0")</f>
        <v>666296,89|2,0,0</v>
      </c>
      <c r="C89" t="str">
        <f>CONCATENATE(666637,",",ROW(BCTCR_06608!C89),"|",COLUMN(BCTCR_06608!C89),",0",",0")</f>
        <v>666637,89|3,0,0</v>
      </c>
      <c r="D89" t="str">
        <f>CONCATENATE(666269,",",ROW(BCTCR_06608!D89),"|",COLUMN(BCTCR_06608!D89),",0",",0")</f>
        <v>666269,89|4,0,0</v>
      </c>
      <c r="E89" t="str">
        <f>CONCATENATE(666656,",",ROW(BCTCR_06608!E89),"|",COLUMN(BCTCR_06608!E89),",0",",0")</f>
        <v>666656,89|5,0,0</v>
      </c>
    </row>
    <row r="90" spans="1:5" x14ac:dyDescent="0.25">
      <c r="A90" t="str">
        <f>CONCATENATE(666704,",",ROW(BCTCR_06608!A90),"|",COLUMN(BCTCR_06608!A90),",0",",0")</f>
        <v>666704,90|1,0,0</v>
      </c>
      <c r="B90" t="str">
        <f>CONCATENATE(666297,",",ROW(BCTCR_06608!B90),"|",COLUMN(BCTCR_06608!B90),",0",",0")</f>
        <v>666297,90|2,0,0</v>
      </c>
      <c r="C90" t="str">
        <f>CONCATENATE(666249,",",ROW(BCTCR_06608!C90),"|",COLUMN(BCTCR_06608!C90),",0",",0")</f>
        <v>666249,90|3,0,0</v>
      </c>
      <c r="D90" t="str">
        <f>CONCATENATE(666270,",",ROW(BCTCR_06608!D90),"|",COLUMN(BCTCR_06608!D90),",0",",0")</f>
        <v>666270,90|4,0,0</v>
      </c>
      <c r="E90" t="str">
        <f>CONCATENATE(666686,",",ROW(BCTCR_06608!E90),"|",COLUMN(BCTCR_06608!E90),",0",",0")</f>
        <v>666686,90|5,0,0</v>
      </c>
    </row>
    <row r="91" spans="1:5" x14ac:dyDescent="0.25">
      <c r="A91" t="str">
        <f>CONCATENATE(666705,",",ROW(BCTCR_06608!A91),"|",COLUMN(BCTCR_06608!A91),",0",",0")</f>
        <v>666705,91|1,0,0</v>
      </c>
      <c r="B91" t="str">
        <f>CONCATENATE(666829,",",ROW(BCTCR_06608!B91),"|",COLUMN(BCTCR_06608!B91),",0",",0")</f>
        <v>666829,91|2,0,0</v>
      </c>
      <c r="C91" t="str">
        <f>CONCATENATE(666250,",",ROW(BCTCR_06608!C91),"|",COLUMN(BCTCR_06608!C91),",0",",0")</f>
        <v>666250,91|3,0,0</v>
      </c>
      <c r="D91" t="str">
        <f>CONCATENATE(666271,",",ROW(BCTCR_06608!D91),"|",COLUMN(BCTCR_06608!D91),",0",",0")</f>
        <v>666271,91|4,0,0</v>
      </c>
      <c r="E91" t="str">
        <f>CONCATENATE(666687,",",ROW(BCTCR_06608!E91),"|",COLUMN(BCTCR_06608!E91),",0",",0")</f>
        <v>666687,91|5,0,0</v>
      </c>
    </row>
    <row r="92" spans="1:5" x14ac:dyDescent="0.25">
      <c r="A92" t="str">
        <f>CONCATENATE(666426,",",ROW(BCTCR_06608!A92),"|",COLUMN(BCTCR_06608!A92),",0",",0")</f>
        <v>666426,92|1,0,0</v>
      </c>
      <c r="B92" t="str">
        <f>CONCATENATE(666298,",",ROW(BCTCR_06608!B92),"|",COLUMN(BCTCR_06608!B92),",0",",0")</f>
        <v>666298,92|2,0,0</v>
      </c>
      <c r="C92" t="str">
        <f>CONCATENATE(666461,",",ROW(BCTCR_06608!C92),"|",COLUMN(BCTCR_06608!C92),",0",",0")</f>
        <v>666461,92|3,0,0</v>
      </c>
      <c r="D92" t="str">
        <f>CONCATENATE(666351,",",ROW(BCTCR_06608!D92),"|",COLUMN(BCTCR_06608!D92),",0",",0")</f>
        <v>666351,92|4,0,0</v>
      </c>
      <c r="E92" t="str">
        <f>CONCATENATE(666868,",",ROW(BCTCR_06608!E92),"|",COLUMN(BCTCR_06608!E92),",0",",0")</f>
        <v>666868,92|5,0,0</v>
      </c>
    </row>
    <row r="93" spans="1:5" x14ac:dyDescent="0.25">
      <c r="A93" t="str">
        <f>CONCATENATE(666427,",",ROW(BCTCR_06608!A93),"|",COLUMN(BCTCR_06608!A93),",0",",0")</f>
        <v>666427,93|1,0,0</v>
      </c>
      <c r="B93" t="str">
        <f>CONCATENATE(666422,",",ROW(BCTCR_06608!B93),"|",COLUMN(BCTCR_06608!B93),",0",",0")</f>
        <v>666422,93|2,0,0</v>
      </c>
      <c r="C93" t="str">
        <f>CONCATENATE(666462,",",ROW(BCTCR_06608!C93),"|",COLUMN(BCTCR_06608!C93),",0",",0")</f>
        <v>666462,93|3,0,0</v>
      </c>
      <c r="D93" t="str">
        <f>CONCATENATE(666356,",",ROW(BCTCR_06608!D93),"|",COLUMN(BCTCR_06608!D93),",0",",0")</f>
        <v>666356,93|4,0,0</v>
      </c>
      <c r="E93" t="str">
        <f>CONCATENATE(666869,",",ROW(BCTCR_06608!E93),"|",COLUMN(BCTCR_06608!E93),",0",",0")</f>
        <v>666869,93|5,0,0</v>
      </c>
    </row>
    <row r="94" spans="1:5" x14ac:dyDescent="0.25">
      <c r="A94" t="str">
        <f>CONCATENATE(666641,",",ROW(BCTCR_06608!A94),"|",COLUMN(BCTCR_06608!A94),",0",",0")</f>
        <v>666641,94|1,0,0</v>
      </c>
      <c r="B94" t="str">
        <f>CONCATENATE(666299,",",ROW(BCTCR_06608!B94),"|",COLUMN(BCTCR_06608!B94),",0",",0")</f>
        <v>666299,94|2,0,0</v>
      </c>
      <c r="C94" t="str">
        <f>CONCATENATE(666251,",",ROW(BCTCR_06608!C94),"|",COLUMN(BCTCR_06608!C94),",0",",0")</f>
        <v>666251,94|3,0,0</v>
      </c>
      <c r="D94" t="str">
        <f>CONCATENATE(666272,",",ROW(BCTCR_06608!D94),"|",COLUMN(BCTCR_06608!D94),",0",",0")</f>
        <v>666272,94|4,0,0</v>
      </c>
      <c r="E94" t="str">
        <f>CONCATENATE(666688,",",ROW(BCTCR_06608!E94),"|",COLUMN(BCTCR_06608!E94),",0",",0")</f>
        <v>666688,94|5,0,0</v>
      </c>
    </row>
    <row r="95" spans="1:5" x14ac:dyDescent="0.25">
      <c r="A95" t="str">
        <f>CONCATENATE(666706,",",ROW(BCTCR_06608!A95),"|",COLUMN(BCTCR_06608!A95),",0",",0")</f>
        <v>666706,95|1,0,0</v>
      </c>
      <c r="B95" t="str">
        <f>CONCATENATE(666423,",",ROW(BCTCR_06608!B95),"|",COLUMN(BCTCR_06608!B95),",0",",0")</f>
        <v>666423,95|2,0,0</v>
      </c>
      <c r="C95" t="str">
        <f>CONCATENATE(666719,",",ROW(BCTCR_06608!C95),"|",COLUMN(BCTCR_06608!C95),",0",",0")</f>
        <v>666719,95|3,0,0</v>
      </c>
      <c r="D95" t="str">
        <f>CONCATENATE(666884,",",ROW(BCTCR_06608!D95),"|",COLUMN(BCTCR_06608!D95),",0",",0")</f>
        <v>666884,95|4,0,0</v>
      </c>
      <c r="E95" t="str">
        <f>CONCATENATE(666780,",",ROW(BCTCR_06608!E95),"|",COLUMN(BCTCR_06608!E95),",0",",0")</f>
        <v>666780,95|5,0,0</v>
      </c>
    </row>
    <row r="96" spans="1:5" x14ac:dyDescent="0.25">
      <c r="A96" t="str">
        <f>CONCATENATE(666428,",",ROW(BCTCR_06608!A96),"|",COLUMN(BCTCR_06608!A96),",0",",0")</f>
        <v>666428,96|1,0,0</v>
      </c>
      <c r="B96" t="str">
        <f>CONCATENATE(666830,",",ROW(BCTCR_06608!B96),"|",COLUMN(BCTCR_06608!B96),",0",",0")</f>
        <v>666830,96|2,0,0</v>
      </c>
      <c r="C96" t="str">
        <f>CONCATENATE(666494,",",ROW(BCTCR_06608!C96),"|",COLUMN(BCTCR_06608!C96),",0",",0")</f>
        <v>666494,96|3,0,0</v>
      </c>
      <c r="D96" t="str">
        <f>CONCATENATE(666357,",",ROW(BCTCR_06608!D96),"|",COLUMN(BCTCR_06608!D96),",0",",0")</f>
        <v>666357,96|4,0,0</v>
      </c>
      <c r="E96" t="str">
        <f>CONCATENATE(666870,",",ROW(BCTCR_06608!E96),"|",COLUMN(BCTCR_06608!E96),",0",",0")</f>
        <v>666870,96|5,0,0</v>
      </c>
    </row>
    <row r="97" spans="1:5" x14ac:dyDescent="0.25">
      <c r="A97" t="str">
        <f>CONCATENATE(666707,",",ROW(BCTCR_06608!A97),"|",COLUMN(BCTCR_06608!A97),",0",",0")</f>
        <v>666707,97|1,0,0</v>
      </c>
      <c r="B97" t="str">
        <f>CONCATENATE(666899,",",ROW(BCTCR_06608!B97),"|",COLUMN(BCTCR_06608!B97),",0",",0")</f>
        <v>666899,97|2,0,0</v>
      </c>
      <c r="C97" t="str">
        <f>CONCATENATE(666720,",",ROW(BCTCR_06608!C97),"|",COLUMN(BCTCR_06608!C97),",0",",0")</f>
        <v>666720,97|3,0,0</v>
      </c>
      <c r="D97" t="str">
        <f>CONCATENATE(666885,",",ROW(BCTCR_06608!D97),"|",COLUMN(BCTCR_06608!D97),",0",",0")</f>
        <v>666885,97|4,0,0</v>
      </c>
      <c r="E97" t="str">
        <f>CONCATENATE(666781,",",ROW(BCTCR_06608!E97),"|",COLUMN(BCTCR_06608!E97),",0",",0")</f>
        <v>666781,97|5,0,0</v>
      </c>
    </row>
    <row r="98" spans="1:5" x14ac:dyDescent="0.25">
      <c r="A98" t="str">
        <f>CONCATENATE(666796,",",ROW(BCTCR_06608!A98),"|",COLUMN(BCTCR_06608!A98),",0",",0")</f>
        <v>666796,98|1,0,0</v>
      </c>
      <c r="B98" t="str">
        <f>CONCATENATE(666831,",",ROW(BCTCR_06608!B98),"|",COLUMN(BCTCR_06608!B98),",0",",0")</f>
        <v>666831,98|2,0,0</v>
      </c>
      <c r="C98" t="str">
        <f>CONCATENATE(666252,",",ROW(BCTCR_06608!C98),"|",COLUMN(BCTCR_06608!C98),",0",",0")</f>
        <v>666252,98|3,0,0</v>
      </c>
      <c r="D98" t="str">
        <f>CONCATENATE(666273,",",ROW(BCTCR_06608!D98),"|",COLUMN(BCTCR_06608!D98),",0",",0")</f>
        <v>666273,98|4,0,0</v>
      </c>
      <c r="E98" t="str">
        <f>CONCATENATE(666689,",",ROW(BCTCR_06608!E98),"|",COLUMN(BCTCR_06608!E98),",0",",0")</f>
        <v>666689,98|5,0,0</v>
      </c>
    </row>
    <row r="99" spans="1:5" x14ac:dyDescent="0.25">
      <c r="A99" t="str">
        <f>CONCATENATE(666797,",",ROW(BCTCR_06608!A99),"|",COLUMN(BCTCR_06608!A99),",0",",0")</f>
        <v>666797,99|1,0,0</v>
      </c>
      <c r="B99" t="str">
        <f>CONCATENATE(666524,",",ROW(BCTCR_06608!B99),"|",COLUMN(BCTCR_06608!B99),",0",",0")</f>
        <v>666524,99|2,0,0</v>
      </c>
      <c r="C99" t="str">
        <f>CONCATENATE(666253,",",ROW(BCTCR_06608!C99),"|",COLUMN(BCTCR_06608!C99),",0",",0")</f>
        <v>666253,99|3,0,0</v>
      </c>
      <c r="D99" t="str">
        <f>CONCATENATE(666274,",",ROW(BCTCR_06608!D99),"|",COLUMN(BCTCR_06608!D99),",0",",0")</f>
        <v>666274,99|4,0,0</v>
      </c>
      <c r="E99" t="str">
        <f>CONCATENATE(666690,",",ROW(BCTCR_06608!E99),"|",COLUMN(BCTCR_06608!E99),",0",",0")</f>
        <v>666690,99|5,0,0</v>
      </c>
    </row>
    <row r="100" spans="1:5" x14ac:dyDescent="0.25">
      <c r="A100" t="str">
        <f>CONCATENATE(666643,",",ROW(BCTCR_06608!A100),"|",COLUMN(BCTCR_06608!A100),",0",",0")</f>
        <v>666643,100|1,0,0</v>
      </c>
      <c r="B100" t="str">
        <f>CONCATENATE(666300,",",ROW(BCTCR_06608!B100),"|",COLUMN(BCTCR_06608!B100),",0",",0")</f>
        <v>666300,100|2,0,0</v>
      </c>
      <c r="C100" t="str">
        <f>CONCATENATE(666254,",",ROW(BCTCR_06608!C100),"|",COLUMN(BCTCR_06608!C100),",0",",0")</f>
        <v>666254,100|3,0,0</v>
      </c>
      <c r="D100" t="str">
        <f>CONCATENATE(666275,",",ROW(BCTCR_06608!D100),"|",COLUMN(BCTCR_06608!D100),",0",",0")</f>
        <v>666275,100|4,0,0</v>
      </c>
      <c r="E100" t="str">
        <f>CONCATENATE(666691,",",ROW(BCTCR_06608!E100),"|",COLUMN(BCTCR_06608!E100),",0",",0")</f>
        <v>666691,100|5,0,0</v>
      </c>
    </row>
    <row r="101" spans="1:5" x14ac:dyDescent="0.25">
      <c r="A101" t="str">
        <f>CONCATENATE(666708,",",ROW(BCTCR_06608!A101),"|",COLUMN(BCTCR_06608!A101),",0",",0")</f>
        <v>666708,101|1,0,0</v>
      </c>
      <c r="B101" t="str">
        <f>CONCATENATE(666302,",",ROW(BCTCR_06608!B101),"|",COLUMN(BCTCR_06608!B101),",0",",0")</f>
        <v>666302,101|2,0,0</v>
      </c>
      <c r="C101" t="str">
        <f>CONCATENATE(666794,",",ROW(BCTCR_06608!C101),"|",COLUMN(BCTCR_06608!C101),",0",",0")</f>
        <v>666794,101|3,0,0</v>
      </c>
      <c r="D101" t="str">
        <f>CONCATENATE(666441,",",ROW(BCTCR_06608!D101),"|",COLUMN(BCTCR_06608!D101),",0",",0")</f>
        <v>666441,101|4,0,0</v>
      </c>
      <c r="E101" t="str">
        <f>CONCATENATE(666852,",",ROW(BCTCR_06608!E101),"|",COLUMN(BCTCR_06608!E101),",0",",0")</f>
        <v>666852,101|5,0,0</v>
      </c>
    </row>
    <row r="102" spans="1:5" x14ac:dyDescent="0.25">
      <c r="A102" t="str">
        <f>CONCATENATE(666709,",",ROW(BCTCR_06608!A102),"|",COLUMN(BCTCR_06608!A102),",0",",0")</f>
        <v>666709,102|1,0,0</v>
      </c>
      <c r="B102" t="str">
        <f>CONCATENATE(666900,",",ROW(BCTCR_06608!B102),"|",COLUMN(BCTCR_06608!B102),",0",",0")</f>
        <v>666900,102|2,0,0</v>
      </c>
      <c r="C102" t="str">
        <f>CONCATENATE(666721,",",ROW(BCTCR_06608!C102),"|",COLUMN(BCTCR_06608!C102),",0",",0")</f>
        <v>666721,102|3,0,0</v>
      </c>
      <c r="D102" t="str">
        <f>CONCATENATE(666495,",",ROW(BCTCR_06608!D102),"|",COLUMN(BCTCR_06608!D102),",0",",0")</f>
        <v>666495,102|4,0,0</v>
      </c>
      <c r="E102" t="str">
        <f>CONCATENATE(666782,",",ROW(BCTCR_06608!E102),"|",COLUMN(BCTCR_06608!E102),",0",",0")</f>
        <v>666782,102|5,0,0</v>
      </c>
    </row>
    <row r="103" spans="1:5" x14ac:dyDescent="0.25">
      <c r="A103" t="str">
        <f>CONCATENATE(666429,",",ROW(BCTCR_06608!A103),"|",COLUMN(BCTCR_06608!A103),",0",",0")</f>
        <v>666429,103|1,0,0</v>
      </c>
      <c r="B103" t="str">
        <f>CONCATENATE(666832,",",ROW(BCTCR_06608!B103),"|",COLUMN(BCTCR_06608!B103),",0",",0")</f>
        <v>666832,103|2,0,0</v>
      </c>
      <c r="C103" t="str">
        <f>CONCATENATE(666403,",",ROW(BCTCR_06608!C103),"|",COLUMN(BCTCR_06608!C103),",0",",0")</f>
        <v>666403,103|3,0,0</v>
      </c>
      <c r="D103" t="str">
        <f>CONCATENATE(666358,",",ROW(BCTCR_06608!D103),"|",COLUMN(BCTCR_06608!D103),",0",",0")</f>
        <v>666358,103|4,0,0</v>
      </c>
      <c r="E103" t="str">
        <f>CONCATENATE(666245,",",ROW(BCTCR_06608!E103),"|",COLUMN(BCTCR_06608!E103),",0",",0")</f>
        <v>666245,103|5,0,0</v>
      </c>
    </row>
    <row r="104" spans="1:5" x14ac:dyDescent="0.25">
      <c r="A104" t="str">
        <f>CONCATENATE(666798,",",ROW(BCTCR_06608!A104),"|",COLUMN(BCTCR_06608!A104),",0",",0")</f>
        <v>666798,104|1,0,0</v>
      </c>
      <c r="B104" t="str">
        <f>CONCATENATE(666303,",",ROW(BCTCR_06608!B104),"|",COLUMN(BCTCR_06608!B104),",0",",0")</f>
        <v>666303,104|2,0,0</v>
      </c>
      <c r="C104" t="str">
        <f>CONCATENATE(666255,",",ROW(BCTCR_06608!C104),"|",COLUMN(BCTCR_06608!C104),",0",",0")</f>
        <v>666255,104|3,0,0</v>
      </c>
      <c r="D104" t="str">
        <f>CONCATENATE(666276,",",ROW(BCTCR_06608!D104),"|",COLUMN(BCTCR_06608!D104),",0",",0")</f>
        <v>666276,104|4,0,0</v>
      </c>
      <c r="E104" t="str">
        <f>CONCATENATE(666692,",",ROW(BCTCR_06608!E104),"|",COLUMN(BCTCR_06608!E104),",0",",0")</f>
        <v>666692,104|5,0,0</v>
      </c>
    </row>
    <row r="105" spans="1:5" x14ac:dyDescent="0.25">
      <c r="A105" t="str">
        <f>CONCATENATE(666799,",",ROW(BCTCR_06608!A105),"|",COLUMN(BCTCR_06608!A105),",0",",0")</f>
        <v>666799,105|1,0,0</v>
      </c>
      <c r="B105" t="str">
        <f>CONCATENATE(666833,",",ROW(BCTCR_06608!B105),"|",COLUMN(BCTCR_06608!B105),",0",",0")</f>
        <v>666833,105|2,0,0</v>
      </c>
      <c r="C105" t="str">
        <f>CONCATENATE(666256,",",ROW(BCTCR_06608!C105),"|",COLUMN(BCTCR_06608!C105),",0",",0")</f>
        <v>666256,105|3,0,0</v>
      </c>
      <c r="D105" t="str">
        <f>CONCATENATE(666277,",",ROW(BCTCR_06608!D105),"|",COLUMN(BCTCR_06608!D105),",0",",0")</f>
        <v>666277,105|4,0,0</v>
      </c>
      <c r="E105" t="str">
        <f>CONCATENATE(666693,",",ROW(BCTCR_06608!E105),"|",COLUMN(BCTCR_06608!E105),",0",",0")</f>
        <v>666693,105|5,0,0</v>
      </c>
    </row>
    <row r="106" spans="1:5" x14ac:dyDescent="0.25">
      <c r="A106" t="str">
        <f>CONCATENATE(666644,",",ROW(BCTCR_06608!A106),"|",COLUMN(BCTCR_06608!A106),",0",",0")</f>
        <v>666644,106|1,0,0</v>
      </c>
      <c r="B106" t="str">
        <f>CONCATENATE(666304,",",ROW(BCTCR_06608!B106),"|",COLUMN(BCTCR_06608!B106),",0",",0")</f>
        <v>666304,106|2,0,0</v>
      </c>
      <c r="C106" t="str">
        <f>CONCATENATE(666793,",",ROW(BCTCR_06608!C106),"|",COLUMN(BCTCR_06608!C106),",0",",0")</f>
        <v>666793,106|3,0,0</v>
      </c>
      <c r="D106" t="str">
        <f>CONCATENATE(666440,",",ROW(BCTCR_06608!D106),"|",COLUMN(BCTCR_06608!D106),",0",",0")</f>
        <v>666440,106|4,0,0</v>
      </c>
      <c r="E106" t="str">
        <f>CONCATENATE(666695,",",ROW(BCTCR_06608!E106),"|",COLUMN(BCTCR_06608!E106),",0",",0")</f>
        <v>666695,106|5,0,0</v>
      </c>
    </row>
    <row r="107" spans="1:5" x14ac:dyDescent="0.25">
      <c r="A107" t="str">
        <f>CONCATENATE(666607,",",ROW(BCTCR_06608!A107),"|",COLUMN(BCTCR_06608!A107),",0",",0")</f>
        <v>666607,107|1,0,0</v>
      </c>
      <c r="B107" t="str">
        <f>CONCATENATE(666834,",",ROW(BCTCR_06608!B107),"|",COLUMN(BCTCR_06608!B107),",0",",0")</f>
        <v>666834,107|2,0,0</v>
      </c>
      <c r="C107" t="str">
        <f>CONCATENATE(666843,",",ROW(BCTCR_06608!C107),"|",COLUMN(BCTCR_06608!C107),",0",",0")</f>
        <v>666843,107|3,0,0</v>
      </c>
      <c r="D107" t="str">
        <f>CONCATENATE(666340,",",ROW(BCTCR_06608!D107),"|",COLUMN(BCTCR_06608!D107),",0",",0")</f>
        <v>666340,107|4,0,0</v>
      </c>
      <c r="E107" t="str">
        <f>CONCATENATE(666694,",",ROW(BCTCR_06608!E107),"|",COLUMN(BCTCR_06608!E107),",0",",0")</f>
        <v>666694,107|5,0,0</v>
      </c>
    </row>
    <row r="108" spans="1:5" x14ac:dyDescent="0.25">
      <c r="A108" t="str">
        <f>CONCATENATE(666886,",",ROW(BCTCR_06608!A108),"|",COLUMN(BCTCR_06608!A108),",0",",0")</f>
        <v>666886,108|1,0,0</v>
      </c>
      <c r="B108" t="str">
        <f>CONCATENATE(666835,",",ROW(BCTCR_06608!B108),"|",COLUMN(BCTCR_06608!B108),",0",",0")</f>
        <v>666835,108|2,0,0</v>
      </c>
      <c r="C108" t="str">
        <f>CONCATENATE(666404,",",ROW(BCTCR_06608!C108),"|",COLUMN(BCTCR_06608!C108),",0",",0")</f>
        <v>666404,108|3,0,0</v>
      </c>
      <c r="D108" t="str">
        <f>CONCATENATE(666359,",",ROW(BCTCR_06608!D108),"|",COLUMN(BCTCR_06608!D108),",0",",0")</f>
        <v>666359,108|4,0,0</v>
      </c>
      <c r="E108" t="str">
        <f>CONCATENATE(666246,",",ROW(BCTCR_06608!E108),"|",COLUMN(BCTCR_06608!E108),",0",",0")</f>
        <v>666246,108|5,0,0</v>
      </c>
    </row>
    <row r="109" spans="1:5" x14ac:dyDescent="0.25">
      <c r="A109" t="str">
        <f>CONCATENATE(666800,",",ROW(BCTCR_06608!A109),"|",COLUMN(BCTCR_06608!A109),",0",",0")</f>
        <v>666800,109|1,0,0</v>
      </c>
      <c r="B109" t="str">
        <f>CONCATENATE(666305,",",ROW(BCTCR_06608!B109),"|",COLUMN(BCTCR_06608!B109),",0",",0")</f>
        <v>666305,109|2,0,0</v>
      </c>
      <c r="C109" t="str">
        <f>CONCATENATE(666723,",",ROW(BCTCR_06608!C109),"|",COLUMN(BCTCR_06608!C109),",0",",0")</f>
        <v>666723,109|3,0,0</v>
      </c>
      <c r="D109" t="str">
        <f>CONCATENATE(666498,",",ROW(BCTCR_06608!D109),"|",COLUMN(BCTCR_06608!D109),",0",",0")</f>
        <v>666498,109|4,0,0</v>
      </c>
      <c r="E109" t="str">
        <f>CONCATENATE(666785,",",ROW(BCTCR_06608!E109),"|",COLUMN(BCTCR_06608!E109),",0",",0")</f>
        <v>666785,109|5,0,0</v>
      </c>
    </row>
    <row r="110" spans="1:5" x14ac:dyDescent="0.25">
      <c r="A110" t="str">
        <f>CONCATENATE(666801,",",ROW(BCTCR_06608!A110),"|",COLUMN(BCTCR_06608!A110),",0",",0")</f>
        <v>666801,110|1,0,0</v>
      </c>
      <c r="B110" t="str">
        <f>CONCATENATE(666836,",",ROW(BCTCR_06608!B110),"|",COLUMN(BCTCR_06608!B110),",0",",0")</f>
        <v>666836,110|2,0,0</v>
      </c>
      <c r="C110" t="str">
        <f>CONCATENATE(666724,",",ROW(BCTCR_06608!C110),"|",COLUMN(BCTCR_06608!C110),",0",",0")</f>
        <v>666724,110|3,0,0</v>
      </c>
      <c r="D110" t="str">
        <f>CONCATENATE(666499,",",ROW(BCTCR_06608!D110),"|",COLUMN(BCTCR_06608!D110),",0",",0")</f>
        <v>666499,110|4,0,0</v>
      </c>
      <c r="E110" t="str">
        <f>CONCATENATE(666786,",",ROW(BCTCR_06608!E110),"|",COLUMN(BCTCR_06608!E110),",0",",0")</f>
        <v>666786,110|5,0,0</v>
      </c>
    </row>
    <row r="111" spans="1:5" x14ac:dyDescent="0.25">
      <c r="A111" t="str">
        <f>CONCATENATE(666645,",",ROW(BCTCR_06608!A111),"|",COLUMN(BCTCR_06608!A111),",0",",0")</f>
        <v>666645,111|1,0,0</v>
      </c>
      <c r="B111" t="str">
        <f>CONCATENATE(666837,",",ROW(BCTCR_06608!B111),"|",COLUMN(BCTCR_06608!B111),",0",",0")</f>
        <v>666837,111|2,0,0</v>
      </c>
      <c r="C111" t="str">
        <f>CONCATENATE(666725,",",ROW(BCTCR_06608!C111),"|",COLUMN(BCTCR_06608!C111),",0",",0")</f>
        <v>666725,111|3,0,0</v>
      </c>
      <c r="D111" t="str">
        <f>CONCATENATE(666500,",",ROW(BCTCR_06608!D111),"|",COLUMN(BCTCR_06608!D111),",0",",0")</f>
        <v>666500,111|4,0,0</v>
      </c>
      <c r="E111" t="str">
        <f>CONCATENATE(666787,",",ROW(BCTCR_06608!E111),"|",COLUMN(BCTCR_06608!E111),",0",",0")</f>
        <v>666787,111|5,0,0</v>
      </c>
    </row>
    <row r="112" spans="1:5" x14ac:dyDescent="0.25">
      <c r="A112" t="str">
        <f>CONCATENATE(666889,",",ROW(BCTCR_06608!A112),"|",COLUMN(BCTCR_06608!A112),",0",",0")</f>
        <v>666889,112|1,0,0</v>
      </c>
      <c r="B112" t="str">
        <f>CONCATENATE(666306,",",ROW(BCTCR_06608!B112),"|",COLUMN(BCTCR_06608!B112),",0",",0")</f>
        <v>666306,112|2,0,0</v>
      </c>
      <c r="C112" t="str">
        <f>CONCATENATE(666726,",",ROW(BCTCR_06608!C112),"|",COLUMN(BCTCR_06608!C112),",0",",0")</f>
        <v>666726,112|3,0,0</v>
      </c>
      <c r="D112" t="str">
        <f>CONCATENATE(666501,",",ROW(BCTCR_06608!D112),"|",COLUMN(BCTCR_06608!D112),",0",",0")</f>
        <v>666501,112|4,0,0</v>
      </c>
      <c r="E112" t="str">
        <f>CONCATENATE(666790,",",ROW(BCTCR_06608!E112),"|",COLUMN(BCTCR_06608!E112),",0",",0")</f>
        <v>666790,112|5,0,0</v>
      </c>
    </row>
    <row r="113" spans="1:5" x14ac:dyDescent="0.25">
      <c r="A113" t="str">
        <f>CONCATENATE(666301,",",ROW(BCTCR_06608!A113),"|",COLUMN(BCTCR_06608!A113),",0",",0")</f>
        <v>666301,113|1,0,0</v>
      </c>
      <c r="B113" t="str">
        <f>CONCATENATE(666838,",",ROW(BCTCR_06608!B113),"|",COLUMN(BCTCR_06608!B113),",0",",0")</f>
        <v>666838,113|2,0,0</v>
      </c>
      <c r="C113" t="str">
        <f>CONCATENATE(666727,",",ROW(BCTCR_06608!C113),"|",COLUMN(BCTCR_06608!C113),",0",",0")</f>
        <v>666727,113|3,0,0</v>
      </c>
      <c r="D113" t="str">
        <f>CONCATENATE(666502,",",ROW(BCTCR_06608!D113),"|",COLUMN(BCTCR_06608!D113),",0",",0")</f>
        <v>666502,113|4,0,0</v>
      </c>
      <c r="E113" t="str">
        <f>CONCATENATE(666791,",",ROW(BCTCR_06608!E113),"|",COLUMN(BCTCR_06608!E113),",0",",0")</f>
        <v>666791,113|5,0,0</v>
      </c>
    </row>
    <row r="114" spans="1:5" x14ac:dyDescent="0.25">
      <c r="A114" t="str">
        <f>CONCATENATE(666887,",",ROW(BCTCR_06608!A114),"|",COLUMN(BCTCR_06608!A114),",0",",0")</f>
        <v>666887,114|1,0,0</v>
      </c>
      <c r="B114" t="str">
        <f>CONCATENATE(666307,",",ROW(BCTCR_06608!B114),"|",COLUMN(BCTCR_06608!B114),",0",",0")</f>
        <v>666307,114|2,0,0</v>
      </c>
      <c r="C114" t="str">
        <f>CONCATENATE(666405,",",ROW(BCTCR_06608!C114),"|",COLUMN(BCTCR_06608!C114),",0",",0")</f>
        <v>666405,114|3,0,0</v>
      </c>
      <c r="D114" t="str">
        <f>CONCATENATE(666360,",",ROW(BCTCR_06608!D114),"|",COLUMN(BCTCR_06608!D114),",0",",0")</f>
        <v>666360,114|4,0,0</v>
      </c>
      <c r="E114" t="str">
        <f>CONCATENATE(666247,",",ROW(BCTCR_06608!E114),"|",COLUMN(BCTCR_06608!E114),",0",",0")</f>
        <v>666247,114|5,0,0</v>
      </c>
    </row>
    <row r="115" spans="1:5" x14ac:dyDescent="0.25">
      <c r="A115" t="str">
        <f>CONCATENATE(666802,",",ROW(BCTCR_06608!A115),"|",COLUMN(BCTCR_06608!A115),",0",",0")</f>
        <v>666802,115|1,0,0</v>
      </c>
      <c r="B115" t="str">
        <f>CONCATENATE(666525,",",ROW(BCTCR_06608!B115),"|",COLUMN(BCTCR_06608!B115),",0",",0")</f>
        <v>666525,115|2,0,0</v>
      </c>
      <c r="C115" t="str">
        <f>CONCATENATE(666728,",",ROW(BCTCR_06608!C115),"|",COLUMN(BCTCR_06608!C115),",0",",0")</f>
        <v>666728,115|3,0,0</v>
      </c>
      <c r="D115" t="str">
        <f>CONCATENATE(666503,",",ROW(BCTCR_06608!D115),"|",COLUMN(BCTCR_06608!D115),",0",",0")</f>
        <v>666503,115|4,0,0</v>
      </c>
      <c r="E115" t="str">
        <f>CONCATENATE(666792,",",ROW(BCTCR_06608!E115),"|",COLUMN(BCTCR_06608!E115),",0",",0")</f>
        <v>666792,115|5,0,0</v>
      </c>
    </row>
    <row r="116" spans="1:5" x14ac:dyDescent="0.25">
      <c r="A116" t="str">
        <f>CONCATENATE(666432,",",ROW(BCTCR_06608!A116),"|",COLUMN(BCTCR_06608!A116),",0",",0")</f>
        <v>666432,116|1,0,0</v>
      </c>
      <c r="B116" t="s">
        <v>5</v>
      </c>
      <c r="C116" t="str">
        <f>CONCATENATE(666600,",",ROW(BCTCR_06608!C116),"|",COLUMN(BCTCR_06608!C116),",0",",0")</f>
        <v>666600,116|3,0,0</v>
      </c>
      <c r="D116" t="str">
        <f>CONCATENATE(666602,",",ROW(BCTCR_06608!D116),"|",COLUMN(BCTCR_06608!D116),",0",",0")</f>
        <v>666602,116|4,0,0</v>
      </c>
      <c r="E116" t="str">
        <f>CONCATENATE(666657,",",ROW(BCTCR_06608!E116),"|",COLUMN(BCTCR_06608!E116),",0",",0")</f>
        <v>666657,116|5,0,0</v>
      </c>
    </row>
    <row r="117" spans="1:5" x14ac:dyDescent="0.25">
      <c r="A117" t="str">
        <f>CONCATENATE(666710,",",ROW(BCTCR_06608!A117),"|",COLUMN(BCTCR_06608!A117),",0",",0")</f>
        <v>666710,117|1,0,0</v>
      </c>
      <c r="B117" t="str">
        <f>CONCATENATE(666839,",",ROW(BCTCR_06608!B117),"|",COLUMN(BCTCR_06608!B117),",0",",0")</f>
        <v>666839,117|2,0,0</v>
      </c>
      <c r="C117" t="str">
        <f>CONCATENATE(666729,",",ROW(BCTCR_06608!C117),"|",COLUMN(BCTCR_06608!C117),",0",",0")</f>
        <v>666729,117|3,0,0</v>
      </c>
      <c r="D117" t="str">
        <f>CONCATENATE(666504,",",ROW(BCTCR_06608!D117),"|",COLUMN(BCTCR_06608!D117),",0",",0")</f>
        <v>666504,117|4,0,0</v>
      </c>
      <c r="E117" t="str">
        <f>CONCATENATE(666664,",",ROW(BCTCR_06608!E117),"|",COLUMN(BCTCR_06608!E117),",0",",0")</f>
        <v>666664,117|5,0,0</v>
      </c>
    </row>
    <row r="118" spans="1:5" x14ac:dyDescent="0.25">
      <c r="A118" t="str">
        <f>CONCATENATE(666770,",",ROW(BCTCR_06608!A118),"|",COLUMN(BCTCR_06608!A118),",0",",0")</f>
        <v>666770,118|1,0,0</v>
      </c>
      <c r="B118" t="str">
        <f>CONCATENATE(666308,",",ROW(BCTCR_06608!B118),"|",COLUMN(BCTCR_06608!B118),",0",",0")</f>
        <v>666308,118|2,0,0</v>
      </c>
      <c r="C118" t="str">
        <f>CONCATENATE(666730,",",ROW(BCTCR_06608!C118),"|",COLUMN(BCTCR_06608!C118),",0",",0")</f>
        <v>666730,118|3,0,0</v>
      </c>
      <c r="D118" t="str">
        <f>CONCATENATE(666505,",",ROW(BCTCR_06608!D118),"|",COLUMN(BCTCR_06608!D118),",0",",0")</f>
        <v>666505,118|4,0,0</v>
      </c>
      <c r="E118" t="str">
        <f>CONCATENATE(666325,",",ROW(BCTCR_06608!E118),"|",COLUMN(BCTCR_06608!E118),",0",",0")</f>
        <v>666325,118|5,0,0</v>
      </c>
    </row>
    <row r="119" spans="1:5" x14ac:dyDescent="0.25">
      <c r="A119" t="str">
        <f>CONCATENATE(666888,",",ROW(BCTCR_06608!A119),"|",COLUMN(BCTCR_06608!A119),",0",",0")</f>
        <v>666888,119|1,0,0</v>
      </c>
      <c r="B119" t="str">
        <f>CONCATENATE(666309,",",ROW(BCTCR_06608!B119),"|",COLUMN(BCTCR_06608!B119),",0",",0")</f>
        <v>666309,119|2,0,0</v>
      </c>
      <c r="C119" t="str">
        <f>CONCATENATE(666406,",",ROW(BCTCR_06608!C119),"|",COLUMN(BCTCR_06608!C119),",0",",0")</f>
        <v>666406,119|3,0,0</v>
      </c>
      <c r="D119" t="str">
        <f>CONCATENATE(666361,",",ROW(BCTCR_06608!D119),"|",COLUMN(BCTCR_06608!D119),",0",",0")</f>
        <v>666361,119|4,0,0</v>
      </c>
      <c r="E119" t="str">
        <f>CONCATENATE(666248,",",ROW(BCTCR_06608!E119),"|",COLUMN(BCTCR_06608!E119),",0",",0")</f>
        <v>666248,119|5,0,0</v>
      </c>
    </row>
    <row r="120" spans="1:5" x14ac:dyDescent="0.25">
      <c r="A120" t="str">
        <f>CONCATENATE(666803,",",ROW(BCTCR_06608!A120),"|",COLUMN(BCTCR_06608!A120),",0",",0")</f>
        <v>666803,120|1,0,0</v>
      </c>
      <c r="B120" t="str">
        <f>CONCATENATE(666788,",",ROW(BCTCR_06608!B120),"|",COLUMN(BCTCR_06608!B120),",0",",0")</f>
        <v>666788,120|2,0,0</v>
      </c>
      <c r="C120" t="str">
        <f>CONCATENATE(666767,",",ROW(BCTCR_06608!C120),"|",COLUMN(BCTCR_06608!C120),",0",",0")</f>
        <v>666767,120|3,0,0</v>
      </c>
      <c r="D120" t="str">
        <f>CONCATENATE(666496,",",ROW(BCTCR_06608!D120),"|",COLUMN(BCTCR_06608!D120),",0",",0")</f>
        <v>666496,120|4,0,0</v>
      </c>
      <c r="E120" t="str">
        <f>CONCATENATE(666783,",",ROW(BCTCR_06608!E120),"|",COLUMN(BCTCR_06608!E120),",0",",0")</f>
        <v>666783,120|5,0,0</v>
      </c>
    </row>
    <row r="121" spans="1:5" x14ac:dyDescent="0.25">
      <c r="A121" t="str">
        <f>CONCATENATE(666355,",",ROW(BCTCR_06608!A121),"|",COLUMN(BCTCR_06608!A121),",0",",0")</f>
        <v>666355,121|1,0,0</v>
      </c>
      <c r="B121" t="str">
        <f>CONCATENATE(666310,",",ROW(BCTCR_06608!B121),"|",COLUMN(BCTCR_06608!B121),",0",",0")</f>
        <v>666310,121|2,0,0</v>
      </c>
      <c r="C121" t="str">
        <f>CONCATENATE(666407,",",ROW(BCTCR_06608!C121),"|",COLUMN(BCTCR_06608!C121),",0",",0")</f>
        <v>666407,121|3,0,0</v>
      </c>
      <c r="D121" t="str">
        <f>CONCATENATE(666362,",",ROW(BCTCR_06608!D121),"|",COLUMN(BCTCR_06608!D121),",0",",0")</f>
        <v>666362,121|4,0,0</v>
      </c>
      <c r="E121" t="str">
        <f>CONCATENATE(666679,",",ROW(BCTCR_06608!E121),"|",COLUMN(BCTCR_06608!E121),",0",",0")</f>
        <v>666679,121|5,0,0</v>
      </c>
    </row>
    <row r="122" spans="1:5" x14ac:dyDescent="0.25">
      <c r="A122" t="str">
        <f>CONCATENATE(666890,",",ROW(BCTCR_06608!A122),"|",COLUMN(BCTCR_06608!A122),",0",",0")</f>
        <v>666890,122|1,0,0</v>
      </c>
      <c r="B122" t="str">
        <f>CONCATENATE(666789,",",ROW(BCTCR_06608!B122),"|",COLUMN(BCTCR_06608!B122),",0",",0")</f>
        <v>666789,122|2,0,0</v>
      </c>
      <c r="C122" t="str">
        <f>CONCATENATE(666722,",",ROW(BCTCR_06608!C122),"|",COLUMN(BCTCR_06608!C122),",0",",0")</f>
        <v>666722,122|3,0,0</v>
      </c>
      <c r="D122" t="str">
        <f>CONCATENATE(666497,",",ROW(BCTCR_06608!D122),"|",COLUMN(BCTCR_06608!D122),",0",",0")</f>
        <v>666497,122|4,0,0</v>
      </c>
      <c r="E122" t="str">
        <f>CONCATENATE(666784,",",ROW(BCTCR_06608!E122),"|",COLUMN(BCTCR_06608!E122),",0",",0")</f>
        <v>666784,122|5,0,0</v>
      </c>
    </row>
    <row r="123" spans="1:5" x14ac:dyDescent="0.25">
      <c r="A123" t="str">
        <f>CONCATENATE(666771,",",ROW(BCTCR_06608!A123),"|",COLUMN(BCTCR_06608!A123),",0",",0")</f>
        <v>666771,123|1,0,0</v>
      </c>
      <c r="B123" t="str">
        <f>CONCATENATE(666840,",",ROW(BCTCR_06608!B123),"|",COLUMN(BCTCR_06608!B123),",0",",0")</f>
        <v>666840,123|2,0,0</v>
      </c>
      <c r="C123" t="str">
        <f>CONCATENATE(666731,",",ROW(BCTCR_06608!C123),"|",COLUMN(BCTCR_06608!C123),",0",",0")</f>
        <v>666731,123|3,0,0</v>
      </c>
      <c r="D123" t="str">
        <f>CONCATENATE(666506,",",ROW(BCTCR_06608!D123),"|",COLUMN(BCTCR_06608!D123),",0",",0")</f>
        <v>666506,123|4,0,0</v>
      </c>
      <c r="E123" t="str">
        <f>CONCATENATE(666326,",",ROW(BCTCR_06608!E123),"|",COLUMN(BCTCR_06608!E123),",0",",0")</f>
        <v>666326,123|5,0,0</v>
      </c>
    </row>
    <row r="124" spans="1:5" x14ac:dyDescent="0.25">
      <c r="A124" t="str">
        <f>CONCATENATE(666804,",",ROW(BCTCR_06608!A124),"|",COLUMN(BCTCR_06608!A124),",0",",0")</f>
        <v>666804,124|1,0,0</v>
      </c>
      <c r="B124" t="str">
        <f>CONCATENATE(666311,",",ROW(BCTCR_06608!B124),"|",COLUMN(BCTCR_06608!B124),",0",",0")</f>
        <v>666311,124|2,0,0</v>
      </c>
      <c r="C124" t="str">
        <f>CONCATENATE(666732,",",ROW(BCTCR_06608!C124),"|",COLUMN(BCTCR_06608!C124),",0",",0")</f>
        <v>666732,124|3,0,0</v>
      </c>
      <c r="D124" t="str">
        <f>CONCATENATE(666507,",",ROW(BCTCR_06608!D124),"|",COLUMN(BCTCR_06608!D124),",0",",0")</f>
        <v>666507,124|4,0,0</v>
      </c>
      <c r="E124" t="str">
        <f>CONCATENATE(666327,",",ROW(BCTCR_06608!E124),"|",COLUMN(BCTCR_06608!E124),",0",",0")</f>
        <v>666327,124|5,0,0</v>
      </c>
    </row>
    <row r="125" spans="1:5" x14ac:dyDescent="0.25">
      <c r="A125" t="str">
        <f>CONCATENATE(666410,",",ROW(BCTCR_06608!A125),"|",COLUMN(BCTCR_06608!A125),",0",",0")</f>
        <v>666410,125|1,0,0</v>
      </c>
      <c r="B125" t="str">
        <f>CONCATENATE(666370,",",ROW(BCTCR_06608!B125),"|",COLUMN(BCTCR_06608!B125),",0",",0")</f>
        <v>666370,125|2,0,0</v>
      </c>
      <c r="C125" t="str">
        <f>CONCATENATE(666408,",",ROW(BCTCR_06608!C125),"|",COLUMN(BCTCR_06608!C125),",0",",0")</f>
        <v>666408,125|3,0,0</v>
      </c>
      <c r="D125" t="str">
        <f>CONCATENATE(666363,",",ROW(BCTCR_06608!D125),"|",COLUMN(BCTCR_06608!D125),",0",",0")</f>
        <v>666363,125|4,0,0</v>
      </c>
      <c r="E125" t="str">
        <f>CONCATENATE(666680,",",ROW(BCTCR_06608!E125),"|",COLUMN(BCTCR_06608!E125),",0",",0")</f>
        <v>666680,125|5,0,0</v>
      </c>
    </row>
    <row r="126" spans="1:5" x14ac:dyDescent="0.25">
      <c r="A126" t="str">
        <f>CONCATENATE(666805,",",ROW(BCTCR_06608!A126),"|",COLUMN(BCTCR_06608!A126),",0",",0")</f>
        <v>666805,126|1,0,0</v>
      </c>
      <c r="B126" t="str">
        <f>CONCATENATE(666841,",",ROW(BCTCR_06608!B126),"|",COLUMN(BCTCR_06608!B126),",0",",0")</f>
        <v>666841,126|2,0,0</v>
      </c>
      <c r="C126" t="str">
        <f>CONCATENATE(666733,",",ROW(BCTCR_06608!C126),"|",COLUMN(BCTCR_06608!C126),",0",",0")</f>
        <v>666733,126|3,0,0</v>
      </c>
      <c r="D126" t="str">
        <f>CONCATENATE(666508,",",ROW(BCTCR_06608!D126),"|",COLUMN(BCTCR_06608!D126),",0",",0")</f>
        <v>666508,126|4,0,0</v>
      </c>
      <c r="E126" t="str">
        <f>CONCATENATE(666328,",",ROW(BCTCR_06608!E126),"|",COLUMN(BCTCR_06608!E126),",0",",0")</f>
        <v>666328,126|5,0,0</v>
      </c>
    </row>
    <row r="127" spans="1:5" x14ac:dyDescent="0.25">
      <c r="A127" t="str">
        <f>CONCATENATE(666772,",",ROW(BCTCR_06608!A127),"|",COLUMN(BCTCR_06608!A127),",0",",0")</f>
        <v>666772,127|1,0,0</v>
      </c>
      <c r="B127" t="str">
        <f>CONCATENATE(666842,",",ROW(BCTCR_06608!B127),"|",COLUMN(BCTCR_06608!B127),",0",",0")</f>
        <v>666842,127|2,0,0</v>
      </c>
      <c r="C127" t="str">
        <f>CONCATENATE(666734,",",ROW(BCTCR_06608!C127),"|",COLUMN(BCTCR_06608!C127),",0",",0")</f>
        <v>666734,127|3,0,0</v>
      </c>
      <c r="D127" t="str">
        <f>CONCATENATE(666509,",",ROW(BCTCR_06608!D127),"|",COLUMN(BCTCR_06608!D127),",0",",0")</f>
        <v>666509,127|4,0,0</v>
      </c>
      <c r="E127" t="str">
        <f>CONCATENATE(666329,",",ROW(BCTCR_06608!E127),"|",COLUMN(BCTCR_06608!E127),",0",",0")</f>
        <v>666329,127|5,0,0</v>
      </c>
    </row>
    <row r="128" spans="1:5" x14ac:dyDescent="0.25">
      <c r="A128" t="str">
        <f>CONCATENATE(666892,",",ROW(BCTCR_06608!A128),"|",COLUMN(BCTCR_06608!A128),",0",",0")</f>
        <v>666892,128|1,0,0</v>
      </c>
      <c r="B128" t="str">
        <f>CONCATENATE(666539,",",ROW(BCTCR_06608!B128),"|",COLUMN(BCTCR_06608!B128),",0",",0")</f>
        <v>666539,128|2,0,0</v>
      </c>
      <c r="C128" t="str">
        <f>CONCATENATE(666735,",",ROW(BCTCR_06608!C128),"|",COLUMN(BCTCR_06608!C128),",0",",0")</f>
        <v>666735,128|3,0,0</v>
      </c>
      <c r="D128" t="str">
        <f>CONCATENATE(666510,",",ROW(BCTCR_06608!D128),"|",COLUMN(BCTCR_06608!D128),",0",",0")</f>
        <v>666510,128|4,0,0</v>
      </c>
      <c r="E128" t="str">
        <f>CONCATENATE(666330,",",ROW(BCTCR_06608!E128),"|",COLUMN(BCTCR_06608!E128),",0",",0")</f>
        <v>666330,128|5,0,0</v>
      </c>
    </row>
    <row r="129" spans="1:5" x14ac:dyDescent="0.25">
      <c r="A129" t="str">
        <f>CONCATENATE(666806,",",ROW(BCTCR_06608!A129),"|",COLUMN(BCTCR_06608!A129),",0",",0")</f>
        <v>666806,129|1,0,0</v>
      </c>
      <c r="B129" t="str">
        <f>CONCATENATE(666630,",",ROW(BCTCR_06608!B129),"|",COLUMN(BCTCR_06608!B129),",0",",0")</f>
        <v>666630,129|2,0,0</v>
      </c>
      <c r="C129" t="str">
        <f>CONCATENATE(666736,",",ROW(BCTCR_06608!C129),"|",COLUMN(BCTCR_06608!C129),",0",",0")</f>
        <v>666736,129|3,0,0</v>
      </c>
      <c r="D129" t="str">
        <f>CONCATENATE(666511,",",ROW(BCTCR_06608!D129),"|",COLUMN(BCTCR_06608!D129),",0",",0")</f>
        <v>666511,129|4,0,0</v>
      </c>
      <c r="E129" t="str">
        <f>CONCATENATE(666331,",",ROW(BCTCR_06608!E129),"|",COLUMN(BCTCR_06608!E129),",0",",0")</f>
        <v>666331,129|5,0,0</v>
      </c>
    </row>
    <row r="130" spans="1:5" x14ac:dyDescent="0.25">
      <c r="A130" t="str">
        <f>CONCATENATE(666411,",",ROW(BCTCR_06608!A130),"|",COLUMN(BCTCR_06608!A130),",0",",0")</f>
        <v>666411,130|1,0,0</v>
      </c>
      <c r="B130" t="str">
        <f>CONCATENATE(666540,",",ROW(BCTCR_06608!B130),"|",COLUMN(BCTCR_06608!B130),",0",",0")</f>
        <v>666540,130|2,0,0</v>
      </c>
      <c r="C130" t="str">
        <f>CONCATENATE(666409,",",ROW(BCTCR_06608!C130),"|",COLUMN(BCTCR_06608!C130),",0",",0")</f>
        <v>666409,130|3,0,0</v>
      </c>
      <c r="D130" t="str">
        <f>CONCATENATE(666364,",",ROW(BCTCR_06608!D130),"|",COLUMN(BCTCR_06608!D130),",0",",0")</f>
        <v>666364,130|4,0,0</v>
      </c>
      <c r="E130" t="str">
        <f>CONCATENATE(666681,",",ROW(BCTCR_06608!E130),"|",COLUMN(BCTCR_06608!E130),",0",",0")</f>
        <v>666681,130|5,0,0</v>
      </c>
    </row>
    <row r="131" spans="1:5" x14ac:dyDescent="0.25">
      <c r="A131" t="str">
        <f>CONCATENATE(666773,",",ROW(BCTCR_06608!A131),"|",COLUMN(BCTCR_06608!A131),",0",",0")</f>
        <v>666773,131|1,0,0</v>
      </c>
      <c r="B131" t="str">
        <f>CONCATENATE(666631,",",ROW(BCTCR_06608!B131),"|",COLUMN(BCTCR_06608!B131),",0",",0")</f>
        <v>666631,131|2,0,0</v>
      </c>
      <c r="C131" t="str">
        <f>CONCATENATE(666737,",",ROW(BCTCR_06608!C131),"|",COLUMN(BCTCR_06608!C131),",0",",0")</f>
        <v>666737,131|3,0,0</v>
      </c>
      <c r="D131" t="str">
        <f>CONCATENATE(666512,",",ROW(BCTCR_06608!D131),"|",COLUMN(BCTCR_06608!D131),",0",",0")</f>
        <v>666512,131|4,0,0</v>
      </c>
      <c r="E131" t="str">
        <f>CONCATENATE(666332,",",ROW(BCTCR_06608!E131),"|",COLUMN(BCTCR_06608!E131),",0",",0")</f>
        <v>666332,131|5,0,0</v>
      </c>
    </row>
    <row r="132" spans="1:5" x14ac:dyDescent="0.25">
      <c r="A132" t="str">
        <f>CONCATENATE(666807,",",ROW(BCTCR_06608!A132),"|",COLUMN(BCTCR_06608!A132),",0",",0")</f>
        <v>666807,132|1,0,0</v>
      </c>
      <c r="B132" t="str">
        <f>CONCATENATE(666634,",",ROW(BCTCR_06608!B132),"|",COLUMN(BCTCR_06608!B132),",0",",0")</f>
        <v>666634,132|2,0,0</v>
      </c>
      <c r="C132" t="str">
        <f>CONCATENATE(666738,",",ROW(BCTCR_06608!C132),"|",COLUMN(BCTCR_06608!C132),",0",",0")</f>
        <v>666738,132|3,0,0</v>
      </c>
      <c r="D132" t="str">
        <f>CONCATENATE(666513,",",ROW(BCTCR_06608!D132),"|",COLUMN(BCTCR_06608!D132),",0",",0")</f>
        <v>666513,132|4,0,0</v>
      </c>
      <c r="E132" t="str">
        <f>CONCATENATE(666851,",",ROW(BCTCR_06608!E132),"|",COLUMN(BCTCR_06608!E132),",0",",0")</f>
        <v>666851,132|5,0,0</v>
      </c>
    </row>
    <row r="133" spans="1:5" x14ac:dyDescent="0.25">
      <c r="A133" t="str">
        <f>CONCATENATE(666893,",",ROW(BCTCR_06608!A133),"|",COLUMN(BCTCR_06608!A133),",0",",0")</f>
        <v>666893,133|1,0,0</v>
      </c>
      <c r="B133" t="str">
        <f>CONCATENATE(666632,",",ROW(BCTCR_06608!B133),"|",COLUMN(BCTCR_06608!B133),",0",",0")</f>
        <v>666632,133|2,0,0</v>
      </c>
      <c r="C133" t="str">
        <f>CONCATENATE(666739,",",ROW(BCTCR_06608!C133),"|",COLUMN(BCTCR_06608!C133),",0",",0")</f>
        <v>666739,133|3,0,0</v>
      </c>
      <c r="D133" t="str">
        <f>CONCATENATE(666514,",",ROW(BCTCR_06608!D133),"|",COLUMN(BCTCR_06608!D133),",0",",0")</f>
        <v>666514,133|4,0,0</v>
      </c>
      <c r="E133" t="str">
        <f>CONCATENATE(666541,",",ROW(BCTCR_06608!E133),"|",COLUMN(BCTCR_06608!E133),",0",",0")</f>
        <v>666541,133|5,0,0</v>
      </c>
    </row>
    <row r="134" spans="1:5" x14ac:dyDescent="0.25">
      <c r="A134" t="str">
        <f>CONCATENATE(666808,",",ROW(BCTCR_06608!A134),"|",COLUMN(BCTCR_06608!A134),",0",",0")</f>
        <v>666808,134|1,0,0</v>
      </c>
      <c r="B134" t="str">
        <f>CONCATENATE(666635,",",ROW(BCTCR_06608!B134),"|",COLUMN(BCTCR_06608!B134),",0",",0")</f>
        <v>666635,134|2,0,0</v>
      </c>
      <c r="C134" t="str">
        <f>CONCATENATE(666740,",",ROW(BCTCR_06608!C134),"|",COLUMN(BCTCR_06608!C134),",0",",0")</f>
        <v>666740,134|3,0,0</v>
      </c>
      <c r="D134" t="str">
        <f>CONCATENATE(666846,",",ROW(BCTCR_06608!D134),"|",COLUMN(BCTCR_06608!D134),",0",",0")</f>
        <v>666846,134|4,0,0</v>
      </c>
      <c r="E134" t="str">
        <f>CONCATENATE(666542,",",ROW(BCTCR_06608!E134),"|",COLUMN(BCTCR_06608!E134),",0",",0")</f>
        <v>666542,134|5,0,0</v>
      </c>
    </row>
    <row r="135" spans="1:5" x14ac:dyDescent="0.25">
      <c r="A135" t="str">
        <f>CONCATENATE(666774,",",ROW(BCTCR_06608!A135),"|",COLUMN(BCTCR_06608!A135),",0",",0")</f>
        <v>666774,135|1,0,0</v>
      </c>
      <c r="B135" t="str">
        <f>CONCATENATE(666874,",",ROW(BCTCR_06608!B135),"|",COLUMN(BCTCR_06608!B135),",0",",0")</f>
        <v>666874,135|2,0,0</v>
      </c>
      <c r="C135" t="str">
        <f>CONCATENATE(666741,",",ROW(BCTCR_06608!C135),"|",COLUMN(BCTCR_06608!C135),",0",",0")</f>
        <v>666741,135|3,0,0</v>
      </c>
      <c r="D135" t="str">
        <f>CONCATENATE(666847,",",ROW(BCTCR_06608!D135),"|",COLUMN(BCTCR_06608!D135),",0",",0")</f>
        <v>666847,135|4,0,0</v>
      </c>
      <c r="E135" t="str">
        <f>CONCATENATE(666543,",",ROW(BCTCR_06608!E135),"|",COLUMN(BCTCR_06608!E135),",0",",0")</f>
        <v>666543,135|5,0,0</v>
      </c>
    </row>
    <row r="136" spans="1:5" x14ac:dyDescent="0.25">
      <c r="A136" t="str">
        <f>CONCATENATE(666716,",",ROW(BCTCR_06608!A136),"|",COLUMN(BCTCR_06608!A136),",0",",0")</f>
        <v>666716,136|1,0,0</v>
      </c>
      <c r="B136" t="str">
        <f>CONCATENATE(666257,",",ROW(BCTCR_06608!B136),"|",COLUMN(BCTCR_06608!B136),",0",",0")</f>
        <v>666257,136|2,0,0</v>
      </c>
      <c r="C136" t="str">
        <f>CONCATENATE(666742,",",ROW(BCTCR_06608!C136),"|",COLUMN(BCTCR_06608!C136),",0",",0")</f>
        <v>666742,136|3,0,0</v>
      </c>
      <c r="D136" t="str">
        <f>CONCATENATE(666848,",",ROW(BCTCR_06608!D136),"|",COLUMN(BCTCR_06608!D136),",0",",0")</f>
        <v>666848,136|4,0,0</v>
      </c>
      <c r="E136" t="str">
        <f>CONCATENATE(666544,",",ROW(BCTCR_06608!E136),"|",COLUMN(BCTCR_06608!E136),",0",",0")</f>
        <v>666544,136|5,0,0</v>
      </c>
    </row>
    <row r="137" spans="1:5" x14ac:dyDescent="0.25">
      <c r="A137" t="str">
        <f>CONCATENATE(666598,",",ROW(BCTCR_06608!A137),"|",COLUMN(BCTCR_06608!A137),",0",",0")</f>
        <v>666598,137|1,0,0</v>
      </c>
      <c r="B137" t="str">
        <f>CONCATENATE(666660,",",ROW(BCTCR_06608!B137),"|",COLUMN(BCTCR_06608!B137),",0",",0")</f>
        <v>666660,137|2,0,0</v>
      </c>
      <c r="C137" t="str">
        <f>CONCATENATE(666658,",",ROW(BCTCR_06608!C137),"|",COLUMN(BCTCR_06608!C137),",0",",0")</f>
        <v>666658,137|3,0,0</v>
      </c>
      <c r="D137" t="str">
        <f>CONCATENATE(666601,",",ROW(BCTCR_06608!D137),"|",COLUMN(BCTCR_06608!D137),",0",",0")</f>
        <v>666601,137|4,0,0</v>
      </c>
      <c r="E137" t="str">
        <f>CONCATENATE(666659,",",ROW(BCTCR_06608!E137),"|",COLUMN(BCTCR_06608!E137),",0",",0")</f>
        <v>666659,137|5,0,0</v>
      </c>
    </row>
  </sheetData>
  <sheetProtection password="CB7D"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8"/>
  <sheetViews>
    <sheetView workbookViewId="0">
      <selection activeCell="A3" sqref="A3:A48"/>
    </sheetView>
  </sheetViews>
  <sheetFormatPr defaultRowHeight="15" x14ac:dyDescent="0.25"/>
  <cols>
    <col min="1" max="1" width="31.28515625" bestFit="1" customWidth="1"/>
    <col min="2" max="5" width="19.7109375" bestFit="1" customWidth="1"/>
  </cols>
  <sheetData>
    <row r="1" spans="1:5" ht="20.25" x14ac:dyDescent="0.3">
      <c r="A1" s="1615" t="s">
        <v>10</v>
      </c>
      <c r="B1" s="1615" t="s">
        <v>5</v>
      </c>
      <c r="C1" s="1615" t="s">
        <v>5</v>
      </c>
      <c r="D1" s="1615" t="s">
        <v>5</v>
      </c>
      <c r="E1" s="1615" t="s">
        <v>5</v>
      </c>
    </row>
    <row r="2" spans="1:5" ht="18.75" x14ac:dyDescent="0.25">
      <c r="A2" s="437" t="s">
        <v>30</v>
      </c>
      <c r="B2" s="437" t="s">
        <v>31</v>
      </c>
      <c r="C2" s="437" t="s">
        <v>32</v>
      </c>
      <c r="D2" s="437" t="s">
        <v>33</v>
      </c>
      <c r="E2" s="437" t="s">
        <v>34</v>
      </c>
    </row>
    <row r="3" spans="1:5" ht="66" x14ac:dyDescent="0.25">
      <c r="A3" s="450" t="s">
        <v>311</v>
      </c>
      <c r="B3" s="436" t="s">
        <v>5</v>
      </c>
      <c r="C3" s="510"/>
      <c r="D3" s="498" t="s">
        <v>5</v>
      </c>
      <c r="E3" s="459" t="s">
        <v>5</v>
      </c>
    </row>
    <row r="4" spans="1:5" ht="49.5" x14ac:dyDescent="0.25">
      <c r="A4" s="457" t="s">
        <v>318</v>
      </c>
      <c r="B4" s="543" t="s">
        <v>81</v>
      </c>
      <c r="C4" s="517"/>
      <c r="D4" s="501" t="s">
        <v>5</v>
      </c>
      <c r="E4" s="460" t="s">
        <v>5</v>
      </c>
    </row>
    <row r="5" spans="1:5" ht="33" x14ac:dyDescent="0.25">
      <c r="A5" s="462" t="s">
        <v>320</v>
      </c>
      <c r="B5" s="565" t="s">
        <v>372</v>
      </c>
      <c r="C5" s="518"/>
      <c r="D5" s="502" t="s">
        <v>5</v>
      </c>
      <c r="E5" s="461" t="s">
        <v>5</v>
      </c>
    </row>
    <row r="6" spans="1:5" ht="16.5" x14ac:dyDescent="0.25">
      <c r="A6" s="446" t="s">
        <v>307</v>
      </c>
      <c r="B6" s="541" t="s">
        <v>115</v>
      </c>
      <c r="C6" s="572" t="s">
        <v>80</v>
      </c>
      <c r="D6" s="577" t="s">
        <v>224</v>
      </c>
      <c r="E6" s="578" t="s">
        <v>383</v>
      </c>
    </row>
    <row r="7" spans="1:5" ht="33" x14ac:dyDescent="0.25">
      <c r="A7" s="542" t="s">
        <v>350</v>
      </c>
      <c r="B7" s="492" t="s">
        <v>336</v>
      </c>
      <c r="C7" s="480"/>
      <c r="D7" s="1894" t="s">
        <v>5</v>
      </c>
      <c r="E7" s="1895" t="s">
        <v>5</v>
      </c>
    </row>
    <row r="8" spans="1:5" ht="33" x14ac:dyDescent="0.25">
      <c r="A8" s="549" t="s">
        <v>356</v>
      </c>
      <c r="B8" s="491" t="s">
        <v>224</v>
      </c>
      <c r="C8" s="479"/>
      <c r="D8" s="1896" t="s">
        <v>5</v>
      </c>
      <c r="E8" s="1897" t="s">
        <v>5</v>
      </c>
    </row>
    <row r="9" spans="1:5" ht="33" x14ac:dyDescent="0.25">
      <c r="A9" s="458" t="s">
        <v>319</v>
      </c>
      <c r="B9" s="493" t="s">
        <v>337</v>
      </c>
      <c r="C9" s="481"/>
      <c r="D9" s="1898" t="s">
        <v>5</v>
      </c>
      <c r="E9" s="1899" t="s">
        <v>5</v>
      </c>
    </row>
    <row r="10" spans="1:5" ht="33" x14ac:dyDescent="0.25">
      <c r="A10" s="451" t="s">
        <v>312</v>
      </c>
      <c r="B10" s="496" t="s">
        <v>340</v>
      </c>
      <c r="C10" s="511"/>
      <c r="D10" s="1900">
        <v>164800618</v>
      </c>
      <c r="E10" s="1901">
        <v>164800618</v>
      </c>
    </row>
    <row r="11" spans="1:5" ht="33" x14ac:dyDescent="0.25">
      <c r="A11" s="575" t="s">
        <v>381</v>
      </c>
      <c r="B11" s="497" t="s">
        <v>341</v>
      </c>
      <c r="C11" s="519"/>
      <c r="D11" s="1902" t="s">
        <v>5</v>
      </c>
      <c r="E11" s="1903" t="s">
        <v>5</v>
      </c>
    </row>
    <row r="12" spans="1:5" ht="66" x14ac:dyDescent="0.25">
      <c r="A12" s="550" t="s">
        <v>357</v>
      </c>
      <c r="B12" s="566" t="s">
        <v>373</v>
      </c>
      <c r="C12" s="520"/>
      <c r="D12" s="1904">
        <v>813714450000</v>
      </c>
      <c r="E12" s="1905">
        <v>336650450000</v>
      </c>
    </row>
    <row r="13" spans="1:5" ht="66" x14ac:dyDescent="0.25">
      <c r="A13" s="579" t="s">
        <v>384</v>
      </c>
      <c r="B13" s="555" t="s">
        <v>362</v>
      </c>
      <c r="C13" s="521"/>
      <c r="D13" s="1906">
        <v>2110000</v>
      </c>
      <c r="E13" s="1907">
        <v>2990000</v>
      </c>
    </row>
    <row r="14" spans="1:5" ht="49.5" x14ac:dyDescent="0.25">
      <c r="A14" s="452" t="s">
        <v>313</v>
      </c>
      <c r="B14" s="534" t="s">
        <v>343</v>
      </c>
      <c r="C14" s="512"/>
      <c r="D14" s="1908" t="s">
        <v>5</v>
      </c>
      <c r="E14" s="1909" t="s">
        <v>5</v>
      </c>
    </row>
    <row r="15" spans="1:5" ht="49.5" x14ac:dyDescent="0.25">
      <c r="A15" s="551" t="s">
        <v>358</v>
      </c>
      <c r="B15" s="567" t="s">
        <v>374</v>
      </c>
      <c r="C15" s="522"/>
      <c r="D15" s="1910">
        <v>162381150000</v>
      </c>
      <c r="E15" s="1911">
        <v>236380270000</v>
      </c>
    </row>
    <row r="16" spans="1:5" ht="49.5" x14ac:dyDescent="0.25">
      <c r="A16" s="447" t="s">
        <v>308</v>
      </c>
      <c r="B16" s="568" t="s">
        <v>375</v>
      </c>
      <c r="C16" s="523"/>
      <c r="D16" s="1912">
        <v>0</v>
      </c>
      <c r="E16" s="1913">
        <v>380000000</v>
      </c>
    </row>
    <row r="17" spans="1:5" ht="49.5" x14ac:dyDescent="0.25">
      <c r="A17" s="463" t="s">
        <v>321</v>
      </c>
      <c r="B17" s="494" t="s">
        <v>338</v>
      </c>
      <c r="C17" s="482"/>
      <c r="D17" s="1914">
        <v>0</v>
      </c>
      <c r="E17" s="1915">
        <v>20000000000</v>
      </c>
    </row>
    <row r="18" spans="1:5" ht="82.5" x14ac:dyDescent="0.25">
      <c r="A18" s="453" t="s">
        <v>314</v>
      </c>
      <c r="B18" s="436" t="s">
        <v>5</v>
      </c>
      <c r="C18" s="513"/>
      <c r="D18" s="1916" t="s">
        <v>5</v>
      </c>
      <c r="E18" s="1917" t="s">
        <v>5</v>
      </c>
    </row>
    <row r="19" spans="1:5" ht="66" x14ac:dyDescent="0.25">
      <c r="A19" s="552" t="s">
        <v>359</v>
      </c>
      <c r="B19" s="495" t="s">
        <v>339</v>
      </c>
      <c r="C19" s="483"/>
      <c r="D19" s="1918">
        <v>2869116260000</v>
      </c>
      <c r="E19" s="1919">
        <v>3409299590000</v>
      </c>
    </row>
    <row r="20" spans="1:5" ht="49.5" x14ac:dyDescent="0.25">
      <c r="A20" s="448" t="s">
        <v>309</v>
      </c>
      <c r="B20" s="556" t="s">
        <v>363</v>
      </c>
      <c r="C20" s="524"/>
      <c r="D20" s="1920">
        <v>2308686000000</v>
      </c>
      <c r="E20" s="1921">
        <v>2381714690000</v>
      </c>
    </row>
    <row r="21" spans="1:5" ht="49.5" x14ac:dyDescent="0.25">
      <c r="A21" s="464" t="s">
        <v>322</v>
      </c>
      <c r="B21" s="580" t="s">
        <v>385</v>
      </c>
      <c r="C21" s="484"/>
      <c r="D21" s="1922">
        <v>636000000</v>
      </c>
      <c r="E21" s="1923">
        <v>20000000</v>
      </c>
    </row>
    <row r="22" spans="1:5" ht="49.5" x14ac:dyDescent="0.25">
      <c r="A22" s="449" t="s">
        <v>310</v>
      </c>
      <c r="B22" s="581" t="s">
        <v>386</v>
      </c>
      <c r="C22" s="503"/>
      <c r="D22" s="1924">
        <v>485553300000</v>
      </c>
      <c r="E22" s="1925">
        <v>933453300000</v>
      </c>
    </row>
    <row r="23" spans="1:5" ht="49.5" x14ac:dyDescent="0.25">
      <c r="A23" s="576" t="s">
        <v>382</v>
      </c>
      <c r="B23" s="569" t="s">
        <v>376</v>
      </c>
      <c r="C23" s="525"/>
      <c r="D23" s="1926">
        <v>73012600000</v>
      </c>
      <c r="E23" s="1927">
        <v>73012600000</v>
      </c>
    </row>
    <row r="24" spans="1:5" ht="49.5" x14ac:dyDescent="0.25">
      <c r="A24" s="573" t="s">
        <v>379</v>
      </c>
      <c r="B24" s="438" t="s">
        <v>299</v>
      </c>
      <c r="C24" s="504"/>
      <c r="D24" s="1928">
        <v>1228360000</v>
      </c>
      <c r="E24" s="1929">
        <v>21099000000</v>
      </c>
    </row>
    <row r="25" spans="1:5" ht="49.5" x14ac:dyDescent="0.25">
      <c r="A25" s="454" t="s">
        <v>315</v>
      </c>
      <c r="B25" s="439" t="s">
        <v>300</v>
      </c>
      <c r="C25" s="505"/>
      <c r="D25" s="1930" t="s">
        <v>5</v>
      </c>
      <c r="E25" s="1931" t="s">
        <v>5</v>
      </c>
    </row>
    <row r="26" spans="1:5" ht="66" x14ac:dyDescent="0.25">
      <c r="A26" s="455" t="s">
        <v>316</v>
      </c>
      <c r="B26" s="557" t="s">
        <v>364</v>
      </c>
      <c r="C26" s="526"/>
      <c r="D26" s="1932">
        <v>83487070000</v>
      </c>
      <c r="E26" s="1933">
        <v>59220950000</v>
      </c>
    </row>
    <row r="27" spans="1:5" ht="66" x14ac:dyDescent="0.25">
      <c r="A27" s="456" t="s">
        <v>317</v>
      </c>
      <c r="B27" s="558" t="s">
        <v>365</v>
      </c>
      <c r="C27" s="527"/>
      <c r="D27" s="1934">
        <v>83337070000</v>
      </c>
      <c r="E27" s="1935">
        <v>59070950000</v>
      </c>
    </row>
    <row r="28" spans="1:5" ht="66" x14ac:dyDescent="0.25">
      <c r="A28" s="553" t="s">
        <v>360</v>
      </c>
      <c r="B28" s="440" t="s">
        <v>301</v>
      </c>
      <c r="C28" s="506"/>
      <c r="D28" s="1936" t="s">
        <v>5</v>
      </c>
      <c r="E28" s="1937" t="s">
        <v>5</v>
      </c>
    </row>
    <row r="29" spans="1:5" ht="66" x14ac:dyDescent="0.25">
      <c r="A29" s="561" t="s">
        <v>368</v>
      </c>
      <c r="B29" s="535" t="s">
        <v>344</v>
      </c>
      <c r="C29" s="528"/>
      <c r="D29" s="1938" t="s">
        <v>5</v>
      </c>
      <c r="E29" s="1939" t="s">
        <v>5</v>
      </c>
    </row>
    <row r="30" spans="1:5" ht="66" x14ac:dyDescent="0.25">
      <c r="A30" s="562" t="s">
        <v>369</v>
      </c>
      <c r="B30" s="536" t="s">
        <v>345</v>
      </c>
      <c r="C30" s="529"/>
      <c r="D30" s="1940">
        <v>150000000</v>
      </c>
      <c r="E30" s="1941">
        <v>150000000</v>
      </c>
    </row>
    <row r="31" spans="1:5" ht="49.5" x14ac:dyDescent="0.25">
      <c r="A31" s="563" t="s">
        <v>370</v>
      </c>
      <c r="B31" s="441" t="s">
        <v>302</v>
      </c>
      <c r="C31" s="507"/>
      <c r="D31" s="1942">
        <v>0</v>
      </c>
      <c r="E31" s="1943">
        <v>3584990000</v>
      </c>
    </row>
    <row r="32" spans="1:5" ht="49.5" x14ac:dyDescent="0.25">
      <c r="A32" s="465" t="s">
        <v>323</v>
      </c>
      <c r="B32" s="559" t="s">
        <v>366</v>
      </c>
      <c r="C32" s="530"/>
      <c r="D32" s="1944" t="s">
        <v>5</v>
      </c>
      <c r="E32" s="1945" t="s">
        <v>5</v>
      </c>
    </row>
    <row r="33" spans="1:5" ht="49.5" x14ac:dyDescent="0.25">
      <c r="A33" s="466" t="s">
        <v>324</v>
      </c>
      <c r="B33" s="442" t="s">
        <v>303</v>
      </c>
      <c r="C33" s="499"/>
      <c r="D33" s="1946" t="s">
        <v>5</v>
      </c>
      <c r="E33" s="1947" t="s">
        <v>5</v>
      </c>
    </row>
    <row r="34" spans="1:5" ht="49.5" x14ac:dyDescent="0.25">
      <c r="A34" s="467" t="s">
        <v>325</v>
      </c>
      <c r="B34" s="544" t="s">
        <v>351</v>
      </c>
      <c r="C34" s="531"/>
      <c r="D34" s="1948" t="s">
        <v>5</v>
      </c>
      <c r="E34" s="1949" t="s">
        <v>5</v>
      </c>
    </row>
    <row r="35" spans="1:5" ht="33" x14ac:dyDescent="0.25">
      <c r="A35" s="468" t="s">
        <v>326</v>
      </c>
      <c r="B35" s="443" t="s">
        <v>304</v>
      </c>
      <c r="C35" s="500"/>
      <c r="D35" s="1950">
        <v>43475428290</v>
      </c>
      <c r="E35" s="1951">
        <v>47448284830</v>
      </c>
    </row>
    <row r="36" spans="1:5" ht="66" x14ac:dyDescent="0.25">
      <c r="A36" s="469" t="s">
        <v>327</v>
      </c>
      <c r="B36" s="545" t="s">
        <v>352</v>
      </c>
      <c r="C36" s="532"/>
      <c r="D36" s="1952">
        <v>38065043990</v>
      </c>
      <c r="E36" s="1953">
        <v>38006071730</v>
      </c>
    </row>
    <row r="37" spans="1:5" ht="66" x14ac:dyDescent="0.25">
      <c r="A37" s="470" t="s">
        <v>328</v>
      </c>
      <c r="B37" s="546" t="s">
        <v>353</v>
      </c>
      <c r="C37" s="514"/>
      <c r="D37" s="1954" t="s">
        <v>5</v>
      </c>
      <c r="E37" s="1955" t="s">
        <v>5</v>
      </c>
    </row>
    <row r="38" spans="1:5" ht="49.5" x14ac:dyDescent="0.25">
      <c r="A38" s="533" t="s">
        <v>342</v>
      </c>
      <c r="B38" s="560" t="s">
        <v>367</v>
      </c>
      <c r="C38" s="472"/>
      <c r="D38" s="1956">
        <v>5409384300</v>
      </c>
      <c r="E38" s="1957">
        <v>9441213100</v>
      </c>
    </row>
    <row r="39" spans="1:5" ht="66" x14ac:dyDescent="0.25">
      <c r="A39" s="564" t="s">
        <v>371</v>
      </c>
      <c r="B39" s="574" t="s">
        <v>380</v>
      </c>
      <c r="C39" s="515"/>
      <c r="D39" s="1958">
        <v>5409384300</v>
      </c>
      <c r="E39" s="1959">
        <v>9441213100</v>
      </c>
    </row>
    <row r="40" spans="1:5" ht="66" x14ac:dyDescent="0.25">
      <c r="A40" s="485" t="s">
        <v>330</v>
      </c>
      <c r="B40" s="537" t="s">
        <v>346</v>
      </c>
      <c r="C40" s="473"/>
      <c r="D40" s="1960" t="s">
        <v>5</v>
      </c>
      <c r="E40" s="1961" t="s">
        <v>5</v>
      </c>
    </row>
    <row r="41" spans="1:5" ht="49.5" x14ac:dyDescent="0.25">
      <c r="A41" s="486" t="s">
        <v>331</v>
      </c>
      <c r="B41" s="539" t="s">
        <v>348</v>
      </c>
      <c r="C41" s="474"/>
      <c r="D41" s="1962">
        <v>1000000</v>
      </c>
      <c r="E41" s="1963">
        <v>1000000</v>
      </c>
    </row>
    <row r="42" spans="1:5" ht="82.5" x14ac:dyDescent="0.25">
      <c r="A42" s="554" t="s">
        <v>361</v>
      </c>
      <c r="B42" s="444" t="s">
        <v>305</v>
      </c>
      <c r="C42" s="508"/>
      <c r="D42" s="1964">
        <v>43474428290</v>
      </c>
      <c r="E42" s="1965">
        <v>47447284830</v>
      </c>
    </row>
    <row r="43" spans="1:5" ht="82.5" x14ac:dyDescent="0.25">
      <c r="A43" s="487" t="s">
        <v>332</v>
      </c>
      <c r="B43" s="540" t="s">
        <v>349</v>
      </c>
      <c r="C43" s="475"/>
      <c r="D43" s="1966">
        <v>43350846831</v>
      </c>
      <c r="E43" s="1967">
        <v>47306526881</v>
      </c>
    </row>
    <row r="44" spans="1:5" ht="82.5" x14ac:dyDescent="0.25">
      <c r="A44" s="488" t="s">
        <v>333</v>
      </c>
      <c r="B44" s="547" t="s">
        <v>354</v>
      </c>
      <c r="C44" s="476"/>
      <c r="D44" s="1968">
        <v>123581459</v>
      </c>
      <c r="E44" s="1969">
        <v>140757949</v>
      </c>
    </row>
    <row r="45" spans="1:5" ht="49.5" x14ac:dyDescent="0.25">
      <c r="A45" s="471" t="s">
        <v>329</v>
      </c>
      <c r="B45" s="548" t="s">
        <v>355</v>
      </c>
      <c r="C45" s="516"/>
      <c r="D45" s="1970" t="s">
        <v>5</v>
      </c>
      <c r="E45" s="1971" t="s">
        <v>5</v>
      </c>
    </row>
    <row r="46" spans="1:5" ht="66" x14ac:dyDescent="0.25">
      <c r="A46" s="489" t="s">
        <v>334</v>
      </c>
      <c r="B46" s="570" t="s">
        <v>377</v>
      </c>
      <c r="C46" s="477"/>
      <c r="D46" s="1972" t="s">
        <v>5</v>
      </c>
      <c r="E46" s="1973" t="s">
        <v>5</v>
      </c>
    </row>
    <row r="47" spans="1:5" ht="66" x14ac:dyDescent="0.25">
      <c r="A47" s="538" t="s">
        <v>347</v>
      </c>
      <c r="B47" s="445" t="s">
        <v>306</v>
      </c>
      <c r="C47" s="509"/>
      <c r="D47" s="1974" t="s">
        <v>5</v>
      </c>
      <c r="E47" s="1975" t="s">
        <v>5</v>
      </c>
    </row>
    <row r="48" spans="1:5" ht="49.5" x14ac:dyDescent="0.25">
      <c r="A48" s="490" t="s">
        <v>335</v>
      </c>
      <c r="B48" s="571" t="s">
        <v>378</v>
      </c>
      <c r="C48" s="478"/>
      <c r="D48" s="1976">
        <v>1000000</v>
      </c>
      <c r="E48" s="1977">
        <v>1000000</v>
      </c>
    </row>
  </sheetData>
  <mergeCells count="1">
    <mergeCell ref="A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E48"/>
  <sheetViews>
    <sheetView workbookViewId="0"/>
  </sheetViews>
  <sheetFormatPr defaultRowHeight="15" x14ac:dyDescent="0.25"/>
  <cols>
    <col min="1" max="1" width="1" style="435" bestFit="1" customWidth="1"/>
    <col min="2" max="5" width="1" bestFit="1" customWidth="1"/>
  </cols>
  <sheetData>
    <row r="3" spans="1:5" x14ac:dyDescent="0.25">
      <c r="A3" t="str">
        <f>CONCATENATE(665283,",",ROW(CCTTCR_06609!A3),"|",COLUMN(CCTTCR_06609!A3),",0",",0")</f>
        <v>665283,3|1,0,0</v>
      </c>
      <c r="B3" t="s">
        <v>5</v>
      </c>
      <c r="C3" t="str">
        <f>CONCATENATE(665175,",",ROW(CCTTCR_06609!C3),"|",COLUMN(CCTTCR_06609!C3),",0",",0")</f>
        <v>665175,3|3,0,0</v>
      </c>
      <c r="D3" t="str">
        <f>CONCATENATE(665378,",",ROW(CCTTCR_06609!D3),"|",COLUMN(CCTTCR_06609!D3),",0",",0")</f>
        <v>665378,3|4,0,0</v>
      </c>
      <c r="E3" t="str">
        <f>CONCATENATE(665315,",",ROW(CCTTCR_06609!E3),"|",COLUMN(CCTTCR_06609!E3),",0",",0")</f>
        <v>665315,3|5,0,0</v>
      </c>
    </row>
    <row r="4" spans="1:5" x14ac:dyDescent="0.25">
      <c r="A4" t="str">
        <f>CONCATENATE(665301,",",ROW(CCTTCR_06609!A4),"|",COLUMN(CCTTCR_06609!A4),",0",",0")</f>
        <v>665301,4|1,0,0</v>
      </c>
      <c r="B4" t="str">
        <f>CONCATENATE(665214,",",ROW(CCTTCR_06609!B4),"|",COLUMN(CCTTCR_06609!B4),",0",",0")</f>
        <v>665214,4|2,0,0</v>
      </c>
      <c r="C4" t="str">
        <f>CONCATENATE(665182,",",ROW(CCTTCR_06609!C4),"|",COLUMN(CCTTCR_06609!C4),",0",",0")</f>
        <v>665182,4|3,0,0</v>
      </c>
      <c r="D4" t="str">
        <f>CONCATENATE(665394,",",ROW(CCTTCR_06609!D4),"|",COLUMN(CCTTCR_06609!D4),",0",",0")</f>
        <v>665394,4|4,0,0</v>
      </c>
      <c r="E4" t="str">
        <f>CONCATENATE(665319,",",ROW(CCTTCR_06609!E4),"|",COLUMN(CCTTCR_06609!E4),",0",",0")</f>
        <v>665319,4|5,0,0</v>
      </c>
    </row>
    <row r="5" spans="1:5" x14ac:dyDescent="0.25">
      <c r="A5" t="str">
        <f>CONCATENATE(665331,",",ROW(CCTTCR_06609!A5),"|",COLUMN(CCTTCR_06609!A5),",0",",0")</f>
        <v>665331,5|1,0,0</v>
      </c>
      <c r="B5" t="str">
        <f>CONCATENATE(665254,",",ROW(CCTTCR_06609!B5),"|",COLUMN(CCTTCR_06609!B5),",0",",0")</f>
        <v>665254,5|2,0,0</v>
      </c>
      <c r="C5" t="str">
        <f>CONCATENATE(665183,",",ROW(CCTTCR_06609!C5),"|",COLUMN(CCTTCR_06609!C5),",0",",0")</f>
        <v>665183,5|3,0,0</v>
      </c>
      <c r="D5" t="str">
        <f>CONCATENATE(665395,",",ROW(CCTTCR_06609!D5),"|",COLUMN(CCTTCR_06609!D5),",0",",0")</f>
        <v>665395,5|4,0,0</v>
      </c>
      <c r="E5" t="str">
        <f>CONCATENATE(665320,",",ROW(CCTTCR_06609!E5),"|",COLUMN(CCTTCR_06609!E5),",0",",0")</f>
        <v>665320,5|5,0,0</v>
      </c>
    </row>
    <row r="6" spans="1:5" x14ac:dyDescent="0.25">
      <c r="A6" t="str">
        <f>CONCATENATE(665279,",",ROW(CCTTCR_06609!A6),"|",COLUMN(CCTTCR_06609!A6),",0",",0")</f>
        <v>665279,6|1,0,0</v>
      </c>
      <c r="B6" t="str">
        <f>CONCATENATE(665212,",",ROW(CCTTCR_06609!B6),"|",COLUMN(CCTTCR_06609!B6),",0",",0")</f>
        <v>665212,6|2,0,0</v>
      </c>
      <c r="C6" t="str">
        <f>CONCATENATE(665261,",",ROW(CCTTCR_06609!C6),"|",COLUMN(CCTTCR_06609!C6),",0",",0")</f>
        <v>665261,6|3,0,0</v>
      </c>
      <c r="D6" t="str">
        <f>CONCATENATE(665266,",",ROW(CCTTCR_06609!D6),"|",COLUMN(CCTTCR_06609!D6),",0",",0")</f>
        <v>665266,6|4,0,0</v>
      </c>
      <c r="E6" t="str">
        <f>CONCATENATE(665267,",",ROW(CCTTCR_06609!E6),"|",COLUMN(CCTTCR_06609!E6),",0",",0")</f>
        <v>665267,6|5,0,0</v>
      </c>
    </row>
    <row r="7" spans="1:5" x14ac:dyDescent="0.25">
      <c r="A7" t="str">
        <f>CONCATENATE(665213,",",ROW(CCTTCR_06609!A7),"|",COLUMN(CCTTCR_06609!A7),",0",",0")</f>
        <v>665213,7|1,0,0</v>
      </c>
      <c r="B7" t="str">
        <f>CONCATENATE(665362,",",ROW(CCTTCR_06609!B7),"|",COLUMN(CCTTCR_06609!B7),",0",",0")</f>
        <v>665362,7|2,0,0</v>
      </c>
      <c r="C7" t="str">
        <f>CONCATENATE(665349,",",ROW(CCTTCR_06609!C7),"|",COLUMN(CCTTCR_06609!C7),",0",",0")</f>
        <v>665349,7|3,0,0</v>
      </c>
      <c r="D7" t="str">
        <f>CONCATENATE(665295,",",ROW(CCTTCR_06609!D7),"|",COLUMN(CCTTCR_06609!D7),",0",",0")</f>
        <v>665295,7|4,0,0</v>
      </c>
      <c r="E7" t="str">
        <f>CONCATENATE(665389,",",ROW(CCTTCR_06609!E7),"|",COLUMN(CCTTCR_06609!E7),",0",",0")</f>
        <v>665389,7|5,0,0</v>
      </c>
    </row>
    <row r="8" spans="1:5" x14ac:dyDescent="0.25">
      <c r="A8" t="str">
        <f>CONCATENATE(665220,",",ROW(CCTTCR_06609!A8),"|",COLUMN(CCTTCR_06609!A8),",0",",0")</f>
        <v>665220,8|1,0,0</v>
      </c>
      <c r="B8" t="str">
        <f>CONCATENATE(665361,",",ROW(CCTTCR_06609!B8),"|",COLUMN(CCTTCR_06609!B8),",0",",0")</f>
        <v>665361,8|2,0,0</v>
      </c>
      <c r="C8" t="str">
        <f>CONCATENATE(665348,",",ROW(CCTTCR_06609!C8),"|",COLUMN(CCTTCR_06609!C8),",0",",0")</f>
        <v>665348,8|3,0,0</v>
      </c>
      <c r="D8" t="str">
        <f>CONCATENATE(665294,",",ROW(CCTTCR_06609!D8),"|",COLUMN(CCTTCR_06609!D8),",0",",0")</f>
        <v>665294,8|4,0,0</v>
      </c>
      <c r="E8" t="str">
        <f>CONCATENATE(665388,",",ROW(CCTTCR_06609!E8),"|",COLUMN(CCTTCR_06609!E8),",0",",0")</f>
        <v>665388,8|5,0,0</v>
      </c>
    </row>
    <row r="9" spans="1:5" x14ac:dyDescent="0.25">
      <c r="A9" t="str">
        <f>CONCATENATE(665302,",",ROW(CCTTCR_06609!A9),"|",COLUMN(CCTTCR_06609!A9),",0",",0")</f>
        <v>665302,9|1,0,0</v>
      </c>
      <c r="B9" t="str">
        <f>CONCATENATE(665363,",",ROW(CCTTCR_06609!B9),"|",COLUMN(CCTTCR_06609!B9),",0",",0")</f>
        <v>665363,9|2,0,0</v>
      </c>
      <c r="C9" t="str">
        <f>CONCATENATE(665350,",",ROW(CCTTCR_06609!C9),"|",COLUMN(CCTTCR_06609!C9),",0",",0")</f>
        <v>665350,9|3,0,0</v>
      </c>
      <c r="D9" t="str">
        <f>CONCATENATE(665296,",",ROW(CCTTCR_06609!D9),"|",COLUMN(CCTTCR_06609!D9),",0",",0")</f>
        <v>665296,9|4,0,0</v>
      </c>
      <c r="E9" t="str">
        <f>CONCATENATE(665390,",",ROW(CCTTCR_06609!E9),"|",COLUMN(CCTTCR_06609!E9),",0",",0")</f>
        <v>665390,9|5,0,0</v>
      </c>
    </row>
    <row r="10" spans="1:5" x14ac:dyDescent="0.25">
      <c r="A10" t="str">
        <f>CONCATENATE(665284,",",ROW(CCTTCR_06609!A10),"|",COLUMN(CCTTCR_06609!A10),",0",",0")</f>
        <v>665284,10|1,0,0</v>
      </c>
      <c r="B10" t="str">
        <f>CONCATENATE(665366,",",ROW(CCTTCR_06609!B10),"|",COLUMN(CCTTCR_06609!B10),",0",",0")</f>
        <v>665366,10|2,0,0</v>
      </c>
      <c r="C10" t="str">
        <f>CONCATENATE(665176,",",ROW(CCTTCR_06609!C10),"|",COLUMN(CCTTCR_06609!C10),",0",",0")</f>
        <v>665176,10|3,0,0</v>
      </c>
      <c r="D10" t="str">
        <f>CONCATENATE(665391,",",ROW(CCTTCR_06609!D10),"|",COLUMN(CCTTCR_06609!D10),",0",",0")</f>
        <v>665391,10|4,0,0</v>
      </c>
      <c r="E10" t="str">
        <f>CONCATENATE(665316,",",ROW(CCTTCR_06609!E10),"|",COLUMN(CCTTCR_06609!E10),",0",",0")</f>
        <v>665316,10|5,0,0</v>
      </c>
    </row>
    <row r="11" spans="1:5" x14ac:dyDescent="0.25">
      <c r="A11" t="str">
        <f>CONCATENATE(665264,",",ROW(CCTTCR_06609!A11),"|",COLUMN(CCTTCR_06609!A11),",0",",0")</f>
        <v>665264,11|1,0,0</v>
      </c>
      <c r="B11" t="str">
        <f>CONCATENATE(665367,",",ROW(CCTTCR_06609!B11),"|",COLUMN(CCTTCR_06609!B11),",0",",0")</f>
        <v>665367,11|2,0,0</v>
      </c>
      <c r="C11" t="str">
        <f>CONCATENATE(665184,",",ROW(CCTTCR_06609!C11),"|",COLUMN(CCTTCR_06609!C11),",0",",0")</f>
        <v>665184,11|3,0,0</v>
      </c>
      <c r="D11" t="str">
        <f>CONCATENATE(665235,",",ROW(CCTTCR_06609!D11),"|",COLUMN(CCTTCR_06609!D11),",0",",0")</f>
        <v>665235,11|4,0,0</v>
      </c>
      <c r="E11" t="str">
        <f>CONCATENATE(665253,",",ROW(CCTTCR_06609!E11),"|",COLUMN(CCTTCR_06609!E11),",0",",0")</f>
        <v>665253,11|5,0,0</v>
      </c>
    </row>
    <row r="12" spans="1:5" x14ac:dyDescent="0.25">
      <c r="A12" t="str">
        <f>CONCATENATE(665221,",",ROW(CCTTCR_06609!A12),"|",COLUMN(CCTTCR_06609!A12),",0",",0")</f>
        <v>665221,12|1,0,0</v>
      </c>
      <c r="B12" t="str">
        <f>CONCATENATE(665255,",",ROW(CCTTCR_06609!B12),"|",COLUMN(CCTTCR_06609!B12),",0",",0")</f>
        <v>665255,12|2,0,0</v>
      </c>
      <c r="C12" t="str">
        <f>CONCATENATE(665185,",",ROW(CCTTCR_06609!C12),"|",COLUMN(CCTTCR_06609!C12),",0",",0")</f>
        <v>665185,12|3,0,0</v>
      </c>
      <c r="D12" t="str">
        <f>CONCATENATE(665236,",",ROW(CCTTCR_06609!D12),"|",COLUMN(CCTTCR_06609!D12),",0",",0")</f>
        <v>665236,12|4,0,0</v>
      </c>
      <c r="E12" t="str">
        <f>CONCATENATE(665321,",",ROW(CCTTCR_06609!E12),"|",COLUMN(CCTTCR_06609!E12),",0",",0")</f>
        <v>665321,12|5,0,0</v>
      </c>
    </row>
    <row r="13" spans="1:5" x14ac:dyDescent="0.25">
      <c r="A13" t="str">
        <f>CONCATENATE(665268,",",ROW(CCTTCR_06609!A13),"|",COLUMN(CCTTCR_06609!A13),",0",",0")</f>
        <v>665268,13|1,0,0</v>
      </c>
      <c r="B13" t="str">
        <f>CONCATENATE(665226,",",ROW(CCTTCR_06609!B13),"|",COLUMN(CCTTCR_06609!B13),",0",",0")</f>
        <v>665226,13|2,0,0</v>
      </c>
      <c r="C13" t="str">
        <f>CONCATENATE(665186,",",ROW(CCTTCR_06609!C13),"|",COLUMN(CCTTCR_06609!C13),",0",",0")</f>
        <v>665186,13|3,0,0</v>
      </c>
      <c r="D13" t="str">
        <f>CONCATENATE(665237,",",ROW(CCTTCR_06609!D13),"|",COLUMN(CCTTCR_06609!D13),",0",",0")</f>
        <v>665237,13|4,0,0</v>
      </c>
      <c r="E13" t="str">
        <f>CONCATENATE(665322,",",ROW(CCTTCR_06609!E13),"|",COLUMN(CCTTCR_06609!E13),",0",",0")</f>
        <v>665322,13|5,0,0</v>
      </c>
    </row>
    <row r="14" spans="1:5" x14ac:dyDescent="0.25">
      <c r="A14" t="str">
        <f>CONCATENATE(665285,",",ROW(CCTTCR_06609!A14),"|",COLUMN(CCTTCR_06609!A14),",0",",0")</f>
        <v>665285,14|1,0,0</v>
      </c>
      <c r="B14" t="str">
        <f>CONCATENATE(665205,",",ROW(CCTTCR_06609!B14),"|",COLUMN(CCTTCR_06609!B14),",0",",0")</f>
        <v>665205,14|2,0,0</v>
      </c>
      <c r="C14" t="str">
        <f>CONCATENATE(665177,",",ROW(CCTTCR_06609!C14),"|",COLUMN(CCTTCR_06609!C14),",0",",0")</f>
        <v>665177,14|3,0,0</v>
      </c>
      <c r="D14" t="str">
        <f>CONCATENATE(665392,",",ROW(CCTTCR_06609!D14),"|",COLUMN(CCTTCR_06609!D14),",0",",0")</f>
        <v>665392,14|4,0,0</v>
      </c>
      <c r="E14" t="str">
        <f>CONCATENATE(665317,",",ROW(CCTTCR_06609!E14),"|",COLUMN(CCTTCR_06609!E14),",0",",0")</f>
        <v>665317,14|5,0,0</v>
      </c>
    </row>
    <row r="15" spans="1:5" x14ac:dyDescent="0.25">
      <c r="A15" t="str">
        <f>CONCATENATE(665222,",",ROW(CCTTCR_06609!A15),"|",COLUMN(CCTTCR_06609!A15),",0",",0")</f>
        <v>665222,15|1,0,0</v>
      </c>
      <c r="B15" t="str">
        <f>CONCATENATE(665256,",",ROW(CCTTCR_06609!B15),"|",COLUMN(CCTTCR_06609!B15),",0",",0")</f>
        <v>665256,15|2,0,0</v>
      </c>
      <c r="C15" t="str">
        <f>CONCATENATE(665187,",",ROW(CCTTCR_06609!C15),"|",COLUMN(CCTTCR_06609!C15),",0",",0")</f>
        <v>665187,15|3,0,0</v>
      </c>
      <c r="D15" t="str">
        <f>CONCATENATE(665238,",",ROW(CCTTCR_06609!D15),"|",COLUMN(CCTTCR_06609!D15),",0",",0")</f>
        <v>665238,15|4,0,0</v>
      </c>
      <c r="E15" t="str">
        <f>CONCATENATE(665323,",",ROW(CCTTCR_06609!E15),"|",COLUMN(CCTTCR_06609!E15),",0",",0")</f>
        <v>665323,15|5,0,0</v>
      </c>
    </row>
    <row r="16" spans="1:5" x14ac:dyDescent="0.25">
      <c r="A16" t="str">
        <f>CONCATENATE(665280,",",ROW(CCTTCR_06609!A16),"|",COLUMN(CCTTCR_06609!A16),",0",",0")</f>
        <v>665280,16|1,0,0</v>
      </c>
      <c r="B16" t="str">
        <f>CONCATENATE(665257,",",ROW(CCTTCR_06609!B16),"|",COLUMN(CCTTCR_06609!B16),",0",",0")</f>
        <v>665257,16|2,0,0</v>
      </c>
      <c r="C16" t="str">
        <f>CONCATENATE(665188,",",ROW(CCTTCR_06609!C16),"|",COLUMN(CCTTCR_06609!C16),",0",",0")</f>
        <v>665188,16|3,0,0</v>
      </c>
      <c r="D16" t="str">
        <f>CONCATENATE(665239,",",ROW(CCTTCR_06609!D16),"|",COLUMN(CCTTCR_06609!D16),",0",",0")</f>
        <v>665239,16|4,0,0</v>
      </c>
      <c r="E16" t="str">
        <f>CONCATENATE(665324,",",ROW(CCTTCR_06609!E16),"|",COLUMN(CCTTCR_06609!E16),",0",",0")</f>
        <v>665324,16|5,0,0</v>
      </c>
    </row>
    <row r="17" spans="1:5" x14ac:dyDescent="0.25">
      <c r="A17" t="str">
        <f>CONCATENATE(665332,",",ROW(CCTTCR_06609!A17),"|",COLUMN(CCTTCR_06609!A17),",0",",0")</f>
        <v>665332,17|1,0,0</v>
      </c>
      <c r="B17" t="str">
        <f>CONCATENATE(665364,",",ROW(CCTTCR_06609!B17),"|",COLUMN(CCTTCR_06609!B17),",0",",0")</f>
        <v>665364,17|2,0,0</v>
      </c>
      <c r="C17" t="str">
        <f>CONCATENATE(665351,",",ROW(CCTTCR_06609!C17),"|",COLUMN(CCTTCR_06609!C17),",0",",0")</f>
        <v>665351,17|3,0,0</v>
      </c>
      <c r="D17" t="str">
        <f>CONCATENATE(665297,",",ROW(CCTTCR_06609!D17),"|",COLUMN(CCTTCR_06609!D17),",0",",0")</f>
        <v>665297,17|4,0,0</v>
      </c>
      <c r="E17" t="str">
        <f>CONCATENATE(665303,",",ROW(CCTTCR_06609!E17),"|",COLUMN(CCTTCR_06609!E17),",0",",0")</f>
        <v>665303,17|5,0,0</v>
      </c>
    </row>
    <row r="18" spans="1:5" x14ac:dyDescent="0.25">
      <c r="A18" t="str">
        <f>CONCATENATE(665286,",",ROW(CCTTCR_06609!A18),"|",COLUMN(CCTTCR_06609!A18),",0",",0")</f>
        <v>665286,18|1,0,0</v>
      </c>
      <c r="B18" t="s">
        <v>5</v>
      </c>
      <c r="C18" t="str">
        <f>CONCATENATE(665178,",",ROW(CCTTCR_06609!C18),"|",COLUMN(CCTTCR_06609!C18),",0",",0")</f>
        <v>665178,18|3,0,0</v>
      </c>
      <c r="D18" t="str">
        <f>CONCATENATE(665393,",",ROW(CCTTCR_06609!D18),"|",COLUMN(CCTTCR_06609!D18),",0",",0")</f>
        <v>665393,18|4,0,0</v>
      </c>
      <c r="E18" t="str">
        <f>CONCATENATE(665318,",",ROW(CCTTCR_06609!E18),"|",COLUMN(CCTTCR_06609!E18),",0",",0")</f>
        <v>665318,18|5,0,0</v>
      </c>
    </row>
    <row r="19" spans="1:5" x14ac:dyDescent="0.25">
      <c r="A19" t="str">
        <f>CONCATENATE(665223,",",ROW(CCTTCR_06609!A19),"|",COLUMN(CCTTCR_06609!A19),",0",",0")</f>
        <v>665223,19|1,0,0</v>
      </c>
      <c r="B19" t="str">
        <f>CONCATENATE(665365,",",ROW(CCTTCR_06609!B19),"|",COLUMN(CCTTCR_06609!B19),",0",",0")</f>
        <v>665365,19|2,0,0</v>
      </c>
      <c r="C19" t="str">
        <f>CONCATENATE(665352,",",ROW(CCTTCR_06609!C19),"|",COLUMN(CCTTCR_06609!C19),",0",",0")</f>
        <v>665352,19|3,0,0</v>
      </c>
      <c r="D19" t="str">
        <f>CONCATENATE(665354,",",ROW(CCTTCR_06609!D19),"|",COLUMN(CCTTCR_06609!D19),",0",",0")</f>
        <v>665354,19|4,0,0</v>
      </c>
      <c r="E19" t="str">
        <f>CONCATENATE(665304,",",ROW(CCTTCR_06609!E19),"|",COLUMN(CCTTCR_06609!E19),",0",",0")</f>
        <v>665304,19|5,0,0</v>
      </c>
    </row>
    <row r="20" spans="1:5" x14ac:dyDescent="0.25">
      <c r="A20" t="str">
        <f>CONCATENATE(665281,",",ROW(CCTTCR_06609!A20),"|",COLUMN(CCTTCR_06609!A20),",0",",0")</f>
        <v>665281,20|1,0,0</v>
      </c>
      <c r="B20" t="str">
        <f>CONCATENATE(665227,",",ROW(CCTTCR_06609!B20),"|",COLUMN(CCTTCR_06609!B20),",0",",0")</f>
        <v>665227,20|2,0,0</v>
      </c>
      <c r="C20" t="str">
        <f>CONCATENATE(665189,",",ROW(CCTTCR_06609!C20),"|",COLUMN(CCTTCR_06609!C20),",0",",0")</f>
        <v>665189,20|3,0,0</v>
      </c>
      <c r="D20" t="str">
        <f>CONCATENATE(665240,",",ROW(CCTTCR_06609!D20),"|",COLUMN(CCTTCR_06609!D20),",0",",0")</f>
        <v>665240,20|4,0,0</v>
      </c>
      <c r="E20" t="str">
        <f>CONCATENATE(665325,",",ROW(CCTTCR_06609!E20),"|",COLUMN(CCTTCR_06609!E20),",0",",0")</f>
        <v>665325,20|5,0,0</v>
      </c>
    </row>
    <row r="21" spans="1:5" x14ac:dyDescent="0.25">
      <c r="A21" t="str">
        <f>CONCATENATE(665333,",",ROW(CCTTCR_06609!A21),"|",COLUMN(CCTTCR_06609!A21),",0",",0")</f>
        <v>665333,21|1,0,0</v>
      </c>
      <c r="B21" t="str">
        <f>CONCATENATE(665269,",",ROW(CCTTCR_06609!B21),"|",COLUMN(CCTTCR_06609!B21),",0",",0")</f>
        <v>665269,21|2,0,0</v>
      </c>
      <c r="C21" t="str">
        <f>CONCATENATE(665353,",",ROW(CCTTCR_06609!C21),"|",COLUMN(CCTTCR_06609!C21),",0",",0")</f>
        <v>665353,21|3,0,0</v>
      </c>
      <c r="D21" t="str">
        <f>CONCATENATE(665368,",",ROW(CCTTCR_06609!D21),"|",COLUMN(CCTTCR_06609!D21),",0",",0")</f>
        <v>665368,21|4,0,0</v>
      </c>
      <c r="E21" t="str">
        <f>CONCATENATE(665305,",",ROW(CCTTCR_06609!E21),"|",COLUMN(CCTTCR_06609!E21),",0",",0")</f>
        <v>665305,21|5,0,0</v>
      </c>
    </row>
    <row r="22" spans="1:5" x14ac:dyDescent="0.25">
      <c r="A22" t="str">
        <f>CONCATENATE(665282,",",ROW(CCTTCR_06609!A22),"|",COLUMN(CCTTCR_06609!A22),",0",",0")</f>
        <v>665282,22|1,0,0</v>
      </c>
      <c r="B22" t="str">
        <f>CONCATENATE(665270,",",ROW(CCTTCR_06609!B22),"|",COLUMN(CCTTCR_06609!B22),",0",",0")</f>
        <v>665270,22|2,0,0</v>
      </c>
      <c r="C22" t="str">
        <f>CONCATENATE(665168,",",ROW(CCTTCR_06609!C22),"|",COLUMN(CCTTCR_06609!C22),",0",",0")</f>
        <v>665168,22|3,0,0</v>
      </c>
      <c r="D22" t="str">
        <f>CONCATENATE(665369,",",ROW(CCTTCR_06609!D22),"|",COLUMN(CCTTCR_06609!D22),",0",",0")</f>
        <v>665369,22|4,0,0</v>
      </c>
      <c r="E22" t="str">
        <f>CONCATENATE(665306,",",ROW(CCTTCR_06609!E22),"|",COLUMN(CCTTCR_06609!E22),",0",",0")</f>
        <v>665306,22|5,0,0</v>
      </c>
    </row>
    <row r="23" spans="1:5" x14ac:dyDescent="0.25">
      <c r="A23" t="str">
        <f>CONCATENATE(665265,",",ROW(CCTTCR_06609!A23),"|",COLUMN(CCTTCR_06609!A23),",0",",0")</f>
        <v>665265,23|1,0,0</v>
      </c>
      <c r="B23" t="str">
        <f>CONCATENATE(665258,",",ROW(CCTTCR_06609!B23),"|",COLUMN(CCTTCR_06609!B23),",0",",0")</f>
        <v>665258,23|2,0,0</v>
      </c>
      <c r="C23" t="str">
        <f>CONCATENATE(665190,",",ROW(CCTTCR_06609!C23),"|",COLUMN(CCTTCR_06609!C23),",0",",0")</f>
        <v>665190,23|3,0,0</v>
      </c>
      <c r="D23" t="str">
        <f>CONCATENATE(665241,",",ROW(CCTTCR_06609!D23),"|",COLUMN(CCTTCR_06609!D23),",0",",0")</f>
        <v>665241,23|4,0,0</v>
      </c>
      <c r="E23" t="str">
        <f>CONCATENATE(665326,",",ROW(CCTTCR_06609!E23),"|",COLUMN(CCTTCR_06609!E23),",0",",0")</f>
        <v>665326,23|5,0,0</v>
      </c>
    </row>
    <row r="24" spans="1:5" x14ac:dyDescent="0.25">
      <c r="A24" t="str">
        <f>CONCATENATE(665262,",",ROW(CCTTCR_06609!A24),"|",COLUMN(CCTTCR_06609!A24),",0",",0")</f>
        <v>665262,24|1,0,0</v>
      </c>
      <c r="B24" t="str">
        <f>CONCATENATE(665271,",",ROW(CCTTCR_06609!B24),"|",COLUMN(CCTTCR_06609!B24),",0",",0")</f>
        <v>665271,24|2,0,0</v>
      </c>
      <c r="C24" t="str">
        <f>CONCATENATE(665169,",",ROW(CCTTCR_06609!C24),"|",COLUMN(CCTTCR_06609!C24),",0",",0")</f>
        <v>665169,24|3,0,0</v>
      </c>
      <c r="D24" t="str">
        <f>CONCATENATE(665370,",",ROW(CCTTCR_06609!D24),"|",COLUMN(CCTTCR_06609!D24),",0",",0")</f>
        <v>665370,24|4,0,0</v>
      </c>
      <c r="E24" t="str">
        <f>CONCATENATE(665307,",",ROW(CCTTCR_06609!E24),"|",COLUMN(CCTTCR_06609!E24),",0",",0")</f>
        <v>665307,24|5,0,0</v>
      </c>
    </row>
    <row r="25" spans="1:5" x14ac:dyDescent="0.25">
      <c r="A25" t="str">
        <f>CONCATENATE(665298,",",ROW(CCTTCR_06609!A25),"|",COLUMN(CCTTCR_06609!A25),",0",",0")</f>
        <v>665298,25|1,0,0</v>
      </c>
      <c r="B25" t="str">
        <f>CONCATENATE(665272,",",ROW(CCTTCR_06609!B25),"|",COLUMN(CCTTCR_06609!B25),",0",",0")</f>
        <v>665272,25|2,0,0</v>
      </c>
      <c r="C25" t="str">
        <f>CONCATENATE(665170,",",ROW(CCTTCR_06609!C25),"|",COLUMN(CCTTCR_06609!C25),",0",",0")</f>
        <v>665170,25|3,0,0</v>
      </c>
      <c r="D25" t="str">
        <f>CONCATENATE(665371,",",ROW(CCTTCR_06609!D25),"|",COLUMN(CCTTCR_06609!D25),",0",",0")</f>
        <v>665371,25|4,0,0</v>
      </c>
      <c r="E25" t="str">
        <f>CONCATENATE(665308,",",ROW(CCTTCR_06609!E25),"|",COLUMN(CCTTCR_06609!E25),",0",",0")</f>
        <v>665308,25|5,0,0</v>
      </c>
    </row>
    <row r="26" spans="1:5" x14ac:dyDescent="0.25">
      <c r="A26" t="str">
        <f>CONCATENATE(665299,",",ROW(CCTTCR_06609!A26),"|",COLUMN(CCTTCR_06609!A26),",0",",0")</f>
        <v>665299,26|1,0,0</v>
      </c>
      <c r="B26" t="str">
        <f>CONCATENATE(665228,",",ROW(CCTTCR_06609!B26),"|",COLUMN(CCTTCR_06609!B26),",0",",0")</f>
        <v>665228,26|2,0,0</v>
      </c>
      <c r="C26" t="str">
        <f>CONCATENATE(665191,",",ROW(CCTTCR_06609!C26),"|",COLUMN(CCTTCR_06609!C26),",0",",0")</f>
        <v>665191,26|3,0,0</v>
      </c>
      <c r="D26" t="str">
        <f>CONCATENATE(665242,",",ROW(CCTTCR_06609!D26),"|",COLUMN(CCTTCR_06609!D26),",0",",0")</f>
        <v>665242,26|4,0,0</v>
      </c>
      <c r="E26" t="str">
        <f>CONCATENATE(665327,",",ROW(CCTTCR_06609!E26),"|",COLUMN(CCTTCR_06609!E26),",0",",0")</f>
        <v>665327,26|5,0,0</v>
      </c>
    </row>
    <row r="27" spans="1:5" x14ac:dyDescent="0.25">
      <c r="A27" t="str">
        <f>CONCATENATE(665300,",",ROW(CCTTCR_06609!A27),"|",COLUMN(CCTTCR_06609!A27),",0",",0")</f>
        <v>665300,27|1,0,0</v>
      </c>
      <c r="B27" t="str">
        <f>CONCATENATE(665229,",",ROW(CCTTCR_06609!B27),"|",COLUMN(CCTTCR_06609!B27),",0",",0")</f>
        <v>665229,27|2,0,0</v>
      </c>
      <c r="C27" t="str">
        <f>CONCATENATE(665192,",",ROW(CCTTCR_06609!C27),"|",COLUMN(CCTTCR_06609!C27),",0",",0")</f>
        <v>665192,27|3,0,0</v>
      </c>
      <c r="D27" t="str">
        <f>CONCATENATE(665243,",",ROW(CCTTCR_06609!D27),"|",COLUMN(CCTTCR_06609!D27),",0",",0")</f>
        <v>665243,27|4,0,0</v>
      </c>
      <c r="E27" t="str">
        <f>CONCATENATE(665328,",",ROW(CCTTCR_06609!E27),"|",COLUMN(CCTTCR_06609!E27),",0",",0")</f>
        <v>665328,27|5,0,0</v>
      </c>
    </row>
    <row r="28" spans="1:5" x14ac:dyDescent="0.25">
      <c r="A28" t="str">
        <f>CONCATENATE(665224,",",ROW(CCTTCR_06609!A28),"|",COLUMN(CCTTCR_06609!A28),",0",",0")</f>
        <v>665224,28|1,0,0</v>
      </c>
      <c r="B28" t="str">
        <f>CONCATENATE(665273,",",ROW(CCTTCR_06609!B28),"|",COLUMN(CCTTCR_06609!B28),",0",",0")</f>
        <v>665273,28|2,0,0</v>
      </c>
      <c r="C28" t="str">
        <f>CONCATENATE(665171,",",ROW(CCTTCR_06609!C28),"|",COLUMN(CCTTCR_06609!C28),",0",",0")</f>
        <v>665171,28|3,0,0</v>
      </c>
      <c r="D28" t="str">
        <f>CONCATENATE(665372,",",ROW(CCTTCR_06609!D28),"|",COLUMN(CCTTCR_06609!D28),",0",",0")</f>
        <v>665372,28|4,0,0</v>
      </c>
      <c r="E28" t="str">
        <f>CONCATENATE(665309,",",ROW(CCTTCR_06609!E28),"|",COLUMN(CCTTCR_06609!E28),",0",",0")</f>
        <v>665309,28|5,0,0</v>
      </c>
    </row>
    <row r="29" spans="1:5" x14ac:dyDescent="0.25">
      <c r="A29" t="str">
        <f>CONCATENATE(665232,",",ROW(CCTTCR_06609!A29),"|",COLUMN(CCTTCR_06609!A29),",0",",0")</f>
        <v>665232,29|1,0,0</v>
      </c>
      <c r="B29" t="str">
        <f>CONCATENATE(665206,",",ROW(CCTTCR_06609!B29),"|",COLUMN(CCTTCR_06609!B29),",0",",0")</f>
        <v>665206,29|2,0,0</v>
      </c>
      <c r="C29" t="str">
        <f>CONCATENATE(665193,",",ROW(CCTTCR_06609!C29),"|",COLUMN(CCTTCR_06609!C29),",0",",0")</f>
        <v>665193,29|3,0,0</v>
      </c>
      <c r="D29" t="str">
        <f>CONCATENATE(665244,",",ROW(CCTTCR_06609!D29),"|",COLUMN(CCTTCR_06609!D29),",0",",0")</f>
        <v>665244,29|4,0,0</v>
      </c>
      <c r="E29" t="str">
        <f>CONCATENATE(665329,",",ROW(CCTTCR_06609!E29),"|",COLUMN(CCTTCR_06609!E29),",0",",0")</f>
        <v>665329,29|5,0,0</v>
      </c>
    </row>
    <row r="30" spans="1:5" x14ac:dyDescent="0.25">
      <c r="A30" t="str">
        <f>CONCATENATE(665233,",",ROW(CCTTCR_06609!A30),"|",COLUMN(CCTTCR_06609!A30),",0",",0")</f>
        <v>665233,30|1,0,0</v>
      </c>
      <c r="B30" t="str">
        <f>CONCATENATE(665207,",",ROW(CCTTCR_06609!B30),"|",COLUMN(CCTTCR_06609!B30),",0",",0")</f>
        <v>665207,30|2,0,0</v>
      </c>
      <c r="C30" t="str">
        <f>CONCATENATE(665194,",",ROW(CCTTCR_06609!C30),"|",COLUMN(CCTTCR_06609!C30),",0",",0")</f>
        <v>665194,30|3,0,0</v>
      </c>
      <c r="D30" t="str">
        <f>CONCATENATE(665245,",",ROW(CCTTCR_06609!D30),"|",COLUMN(CCTTCR_06609!D30),",0",",0")</f>
        <v>665245,30|4,0,0</v>
      </c>
      <c r="E30" t="str">
        <f>CONCATENATE(665330,",",ROW(CCTTCR_06609!E30),"|",COLUMN(CCTTCR_06609!E30),",0",",0")</f>
        <v>665330,30|5,0,0</v>
      </c>
    </row>
    <row r="31" spans="1:5" x14ac:dyDescent="0.25">
      <c r="A31" t="str">
        <f>CONCATENATE(665234,",",ROW(CCTTCR_06609!A31),"|",COLUMN(CCTTCR_06609!A31),",0",",0")</f>
        <v>665234,31|1,0,0</v>
      </c>
      <c r="B31" t="str">
        <f>CONCATENATE(665274,",",ROW(CCTTCR_06609!B31),"|",COLUMN(CCTTCR_06609!B31),",0",",0")</f>
        <v>665274,31|2,0,0</v>
      </c>
      <c r="C31" t="str">
        <f>CONCATENATE(665172,",",ROW(CCTTCR_06609!C31),"|",COLUMN(CCTTCR_06609!C31),",0",",0")</f>
        <v>665172,31|3,0,0</v>
      </c>
      <c r="D31" t="str">
        <f>CONCATENATE(665373,",",ROW(CCTTCR_06609!D31),"|",COLUMN(CCTTCR_06609!D31),",0",",0")</f>
        <v>665373,31|4,0,0</v>
      </c>
      <c r="E31" t="str">
        <f>CONCATENATE(665310,",",ROW(CCTTCR_06609!E31),"|",COLUMN(CCTTCR_06609!E31),",0",",0")</f>
        <v>665310,31|5,0,0</v>
      </c>
    </row>
    <row r="32" spans="1:5" x14ac:dyDescent="0.25">
      <c r="A32" t="str">
        <f>CONCATENATE(665334,",",ROW(CCTTCR_06609!A32),"|",COLUMN(CCTTCR_06609!A32),",0",",0")</f>
        <v>665334,32|1,0,0</v>
      </c>
      <c r="B32" t="str">
        <f>CONCATENATE(665230,",",ROW(CCTTCR_06609!B32),"|",COLUMN(CCTTCR_06609!B32),",0",",0")</f>
        <v>665230,32|2,0,0</v>
      </c>
      <c r="C32" t="str">
        <f>CONCATENATE(665195,",",ROW(CCTTCR_06609!C32),"|",COLUMN(CCTTCR_06609!C32),",0",",0")</f>
        <v>665195,32|3,0,0</v>
      </c>
      <c r="D32" t="str">
        <f>CONCATENATE(665246,",",ROW(CCTTCR_06609!D32),"|",COLUMN(CCTTCR_06609!D32),",0",",0")</f>
        <v>665246,32|4,0,0</v>
      </c>
      <c r="E32" t="str">
        <f>CONCATENATE(665198,",",ROW(CCTTCR_06609!E32),"|",COLUMN(CCTTCR_06609!E32),",0",",0")</f>
        <v>665198,32|5,0,0</v>
      </c>
    </row>
    <row r="33" spans="1:5" x14ac:dyDescent="0.25">
      <c r="A33" t="str">
        <f>CONCATENATE(665335,",",ROW(CCTTCR_06609!A33),"|",COLUMN(CCTTCR_06609!A33),",0",",0")</f>
        <v>665335,33|1,0,0</v>
      </c>
      <c r="B33" t="str">
        <f>CONCATENATE(665275,",",ROW(CCTTCR_06609!B33),"|",COLUMN(CCTTCR_06609!B33),",0",",0")</f>
        <v>665275,33|2,0,0</v>
      </c>
      <c r="C33" t="str">
        <f>CONCATENATE(665379,",",ROW(CCTTCR_06609!C33),"|",COLUMN(CCTTCR_06609!C33),",0",",0")</f>
        <v>665379,33|3,0,0</v>
      </c>
      <c r="D33" t="str">
        <f>CONCATENATE(665374,",",ROW(CCTTCR_06609!D33),"|",COLUMN(CCTTCR_06609!D33),",0",",0")</f>
        <v>665374,33|4,0,0</v>
      </c>
      <c r="E33" t="str">
        <f>CONCATENATE(665311,",",ROW(CCTTCR_06609!E33),"|",COLUMN(CCTTCR_06609!E33),",0",",0")</f>
        <v>665311,33|5,0,0</v>
      </c>
    </row>
    <row r="34" spans="1:5" x14ac:dyDescent="0.25">
      <c r="A34" t="str">
        <f>CONCATENATE(665336,",",ROW(CCTTCR_06609!A34),"|",COLUMN(CCTTCR_06609!A34),",0",",0")</f>
        <v>665336,34|1,0,0</v>
      </c>
      <c r="B34" t="str">
        <f>CONCATENATE(665215,",",ROW(CCTTCR_06609!B34),"|",COLUMN(CCTTCR_06609!B34),",0",",0")</f>
        <v>665215,34|2,0,0</v>
      </c>
      <c r="C34" t="str">
        <f>CONCATENATE(665196,",",ROW(CCTTCR_06609!C34),"|",COLUMN(CCTTCR_06609!C34),",0",",0")</f>
        <v>665196,34|3,0,0</v>
      </c>
      <c r="D34" t="str">
        <f>CONCATENATE(665247,",",ROW(CCTTCR_06609!D34),"|",COLUMN(CCTTCR_06609!D34),",0",",0")</f>
        <v>665247,34|4,0,0</v>
      </c>
      <c r="E34" t="str">
        <f>CONCATENATE(665199,",",ROW(CCTTCR_06609!E34),"|",COLUMN(CCTTCR_06609!E34),",0",",0")</f>
        <v>665199,34|5,0,0</v>
      </c>
    </row>
    <row r="35" spans="1:5" x14ac:dyDescent="0.25">
      <c r="A35" t="str">
        <f>CONCATENATE(665337,",",ROW(CCTTCR_06609!A35),"|",COLUMN(CCTTCR_06609!A35),",0",",0")</f>
        <v>665337,35|1,0,0</v>
      </c>
      <c r="B35" t="str">
        <f>CONCATENATE(665276,",",ROW(CCTTCR_06609!B35),"|",COLUMN(CCTTCR_06609!B35),",0",",0")</f>
        <v>665276,35|2,0,0</v>
      </c>
      <c r="C35" t="str">
        <f>CONCATENATE(665380,",",ROW(CCTTCR_06609!C35),"|",COLUMN(CCTTCR_06609!C35),",0",",0")</f>
        <v>665380,35|3,0,0</v>
      </c>
      <c r="D35" t="str">
        <f>CONCATENATE(665375,",",ROW(CCTTCR_06609!D35),"|",COLUMN(CCTTCR_06609!D35),",0",",0")</f>
        <v>665375,35|4,0,0</v>
      </c>
      <c r="E35" t="str">
        <f>CONCATENATE(665312,",",ROW(CCTTCR_06609!E35),"|",COLUMN(CCTTCR_06609!E35),",0",",0")</f>
        <v>665312,35|5,0,0</v>
      </c>
    </row>
    <row r="36" spans="1:5" x14ac:dyDescent="0.25">
      <c r="A36" t="str">
        <f>CONCATENATE(665338,",",ROW(CCTTCR_06609!A36),"|",COLUMN(CCTTCR_06609!A36),",0",",0")</f>
        <v>665338,36|1,0,0</v>
      </c>
      <c r="B36" t="str">
        <f>CONCATENATE(665216,",",ROW(CCTTCR_06609!B36),"|",COLUMN(CCTTCR_06609!B36),",0",",0")</f>
        <v>665216,36|2,0,0</v>
      </c>
      <c r="C36" t="str">
        <f>CONCATENATE(665197,",",ROW(CCTTCR_06609!C36),"|",COLUMN(CCTTCR_06609!C36),",0",",0")</f>
        <v>665197,36|3,0,0</v>
      </c>
      <c r="D36" t="str">
        <f>CONCATENATE(665248,",",ROW(CCTTCR_06609!D36),"|",COLUMN(CCTTCR_06609!D36),",0",",0")</f>
        <v>665248,36|4,0,0</v>
      </c>
      <c r="E36" t="str">
        <f>CONCATENATE(665200,",",ROW(CCTTCR_06609!E36),"|",COLUMN(CCTTCR_06609!E36),",0",",0")</f>
        <v>665200,36|5,0,0</v>
      </c>
    </row>
    <row r="37" spans="1:5" x14ac:dyDescent="0.25">
      <c r="A37" t="str">
        <f>CONCATENATE(665339,",",ROW(CCTTCR_06609!A37),"|",COLUMN(CCTTCR_06609!A37),",0",",0")</f>
        <v>665339,37|1,0,0</v>
      </c>
      <c r="B37" t="str">
        <f>CONCATENATE(665217,",",ROW(CCTTCR_06609!B37),"|",COLUMN(CCTTCR_06609!B37),",0",",0")</f>
        <v>665217,37|2,0,0</v>
      </c>
      <c r="C37" t="str">
        <f>CONCATENATE(665179,",",ROW(CCTTCR_06609!C37),"|",COLUMN(CCTTCR_06609!C37),",0",",0")</f>
        <v>665179,37|3,0,0</v>
      </c>
      <c r="D37" t="str">
        <f>CONCATENATE(665249,",",ROW(CCTTCR_06609!D37),"|",COLUMN(CCTTCR_06609!D37),",0",",0")</f>
        <v>665249,37|4,0,0</v>
      </c>
      <c r="E37" t="str">
        <f>CONCATENATE(665201,",",ROW(CCTTCR_06609!E37),"|",COLUMN(CCTTCR_06609!E37),",0",",0")</f>
        <v>665201,37|5,0,0</v>
      </c>
    </row>
    <row r="38" spans="1:5" x14ac:dyDescent="0.25">
      <c r="A38" t="str">
        <f>CONCATENATE(665204,",",ROW(CCTTCR_06609!A38),"|",COLUMN(CCTTCR_06609!A38),",0",",0")</f>
        <v>665204,38|1,0,0</v>
      </c>
      <c r="B38" t="str">
        <f>CONCATENATE(665231,",",ROW(CCTTCR_06609!B38),"|",COLUMN(CCTTCR_06609!B38),",0",",0")</f>
        <v>665231,38|2,0,0</v>
      </c>
      <c r="C38" t="str">
        <f>CONCATENATE(665341,",",ROW(CCTTCR_06609!C38),"|",COLUMN(CCTTCR_06609!C38),",0",",0")</f>
        <v>665341,38|3,0,0</v>
      </c>
      <c r="D38" t="str">
        <f>CONCATENATE(665287,",",ROW(CCTTCR_06609!D38),"|",COLUMN(CCTTCR_06609!D38),",0",",0")</f>
        <v>665287,38|4,0,0</v>
      </c>
      <c r="E38" t="str">
        <f>CONCATENATE(665381,",",ROW(CCTTCR_06609!E38),"|",COLUMN(CCTTCR_06609!E38),",0",",0")</f>
        <v>665381,38|5,0,0</v>
      </c>
    </row>
    <row r="39" spans="1:5" x14ac:dyDescent="0.25">
      <c r="A39" t="str">
        <f>CONCATENATE(665252,",",ROW(CCTTCR_06609!A39),"|",COLUMN(CCTTCR_06609!A39),",0",",0")</f>
        <v>665252,39|1,0,0</v>
      </c>
      <c r="B39" t="str">
        <f>CONCATENATE(665263,",",ROW(CCTTCR_06609!B39),"|",COLUMN(CCTTCR_06609!B39),",0",",0")</f>
        <v>665263,39|2,0,0</v>
      </c>
      <c r="C39" t="str">
        <f>CONCATENATE(665180,",",ROW(CCTTCR_06609!C39),"|",COLUMN(CCTTCR_06609!C39),",0",",0")</f>
        <v>665180,39|3,0,0</v>
      </c>
      <c r="D39" t="str">
        <f>CONCATENATE(665250,",",ROW(CCTTCR_06609!D39),"|",COLUMN(CCTTCR_06609!D39),",0",",0")</f>
        <v>665250,39|4,0,0</v>
      </c>
      <c r="E39" t="str">
        <f>CONCATENATE(665202,",",ROW(CCTTCR_06609!E39),"|",COLUMN(CCTTCR_06609!E39),",0",",0")</f>
        <v>665202,39|5,0,0</v>
      </c>
    </row>
    <row r="40" spans="1:5" x14ac:dyDescent="0.25">
      <c r="A40" t="str">
        <f>CONCATENATE(665355,",",ROW(CCTTCR_06609!A40),"|",COLUMN(CCTTCR_06609!A40),",0",",0")</f>
        <v>665355,40|1,0,0</v>
      </c>
      <c r="B40" t="str">
        <f>CONCATENATE(665208,",",ROW(CCTTCR_06609!B40),"|",COLUMN(CCTTCR_06609!B40),",0",",0")</f>
        <v>665208,40|2,0,0</v>
      </c>
      <c r="C40" t="str">
        <f>CONCATENATE(665342,",",ROW(CCTTCR_06609!C40),"|",COLUMN(CCTTCR_06609!C40),",0",",0")</f>
        <v>665342,40|3,0,0</v>
      </c>
      <c r="D40" t="str">
        <f>CONCATENATE(665288,",",ROW(CCTTCR_06609!D40),"|",COLUMN(CCTTCR_06609!D40),",0",",0")</f>
        <v>665288,40|4,0,0</v>
      </c>
      <c r="E40" t="str">
        <f>CONCATENATE(665382,",",ROW(CCTTCR_06609!E40),"|",COLUMN(CCTTCR_06609!E40),",0",",0")</f>
        <v>665382,40|5,0,0</v>
      </c>
    </row>
    <row r="41" spans="1:5" x14ac:dyDescent="0.25">
      <c r="A41" t="str">
        <f>CONCATENATE(665356,",",ROW(CCTTCR_06609!A41),"|",COLUMN(CCTTCR_06609!A41),",0",",0")</f>
        <v>665356,41|1,0,0</v>
      </c>
      <c r="B41" t="str">
        <f>CONCATENATE(665210,",",ROW(CCTTCR_06609!B41),"|",COLUMN(CCTTCR_06609!B41),",0",",0")</f>
        <v>665210,41|2,0,0</v>
      </c>
      <c r="C41" t="str">
        <f>CONCATENATE(665343,",",ROW(CCTTCR_06609!C41),"|",COLUMN(CCTTCR_06609!C41),",0",",0")</f>
        <v>665343,41|3,0,0</v>
      </c>
      <c r="D41" t="str">
        <f>CONCATENATE(665289,",",ROW(CCTTCR_06609!D41),"|",COLUMN(CCTTCR_06609!D41),",0",",0")</f>
        <v>665289,41|4,0,0</v>
      </c>
      <c r="E41" t="str">
        <f>CONCATENATE(665383,",",ROW(CCTTCR_06609!E41),"|",COLUMN(CCTTCR_06609!E41),",0",",0")</f>
        <v>665383,41|5,0,0</v>
      </c>
    </row>
    <row r="42" spans="1:5" x14ac:dyDescent="0.25">
      <c r="A42" t="str">
        <f>CONCATENATE(665225,",",ROW(CCTTCR_06609!A42),"|",COLUMN(CCTTCR_06609!A42),",0",",0")</f>
        <v>665225,42|1,0,0</v>
      </c>
      <c r="B42" t="str">
        <f>CONCATENATE(665277,",",ROW(CCTTCR_06609!B42),"|",COLUMN(CCTTCR_06609!B42),",0",",0")</f>
        <v>665277,42|2,0,0</v>
      </c>
      <c r="C42" t="str">
        <f>CONCATENATE(665173,",",ROW(CCTTCR_06609!C42),"|",COLUMN(CCTTCR_06609!C42),",0",",0")</f>
        <v>665173,42|3,0,0</v>
      </c>
      <c r="D42" t="str">
        <f>CONCATENATE(665376,",",ROW(CCTTCR_06609!D42),"|",COLUMN(CCTTCR_06609!D42),",0",",0")</f>
        <v>665376,42|4,0,0</v>
      </c>
      <c r="E42" t="str">
        <f>CONCATENATE(665313,",",ROW(CCTTCR_06609!E42),"|",COLUMN(CCTTCR_06609!E42),",0",",0")</f>
        <v>665313,42|5,0,0</v>
      </c>
    </row>
    <row r="43" spans="1:5" x14ac:dyDescent="0.25">
      <c r="A43" t="str">
        <f>CONCATENATE(665357,",",ROW(CCTTCR_06609!A43),"|",COLUMN(CCTTCR_06609!A43),",0",",0")</f>
        <v>665357,43|1,0,0</v>
      </c>
      <c r="B43" t="str">
        <f>CONCATENATE(665211,",",ROW(CCTTCR_06609!B43),"|",COLUMN(CCTTCR_06609!B43),",0",",0")</f>
        <v>665211,43|2,0,0</v>
      </c>
      <c r="C43" t="str">
        <f>CONCATENATE(665344,",",ROW(CCTTCR_06609!C43),"|",COLUMN(CCTTCR_06609!C43),",0",",0")</f>
        <v>665344,43|3,0,0</v>
      </c>
      <c r="D43" t="str">
        <f>CONCATENATE(665290,",",ROW(CCTTCR_06609!D43),"|",COLUMN(CCTTCR_06609!D43),",0",",0")</f>
        <v>665290,43|4,0,0</v>
      </c>
      <c r="E43" t="str">
        <f>CONCATENATE(665384,",",ROW(CCTTCR_06609!E43),"|",COLUMN(CCTTCR_06609!E43),",0",",0")</f>
        <v>665384,43|5,0,0</v>
      </c>
    </row>
    <row r="44" spans="1:5" x14ac:dyDescent="0.25">
      <c r="A44" t="str">
        <f>CONCATENATE(665358,",",ROW(CCTTCR_06609!A44),"|",COLUMN(CCTTCR_06609!A44),",0",",0")</f>
        <v>665358,44|1,0,0</v>
      </c>
      <c r="B44" t="str">
        <f>CONCATENATE(665218,",",ROW(CCTTCR_06609!B44),"|",COLUMN(CCTTCR_06609!B44),",0",",0")</f>
        <v>665218,44|2,0,0</v>
      </c>
      <c r="C44" t="str">
        <f>CONCATENATE(665345,",",ROW(CCTTCR_06609!C44),"|",COLUMN(CCTTCR_06609!C44),",0",",0")</f>
        <v>665345,44|3,0,0</v>
      </c>
      <c r="D44" t="str">
        <f>CONCATENATE(665291,",",ROW(CCTTCR_06609!D44),"|",COLUMN(CCTTCR_06609!D44),",0",",0")</f>
        <v>665291,44|4,0,0</v>
      </c>
      <c r="E44" t="str">
        <f>CONCATENATE(665385,",",ROW(CCTTCR_06609!E44),"|",COLUMN(CCTTCR_06609!E44),",0",",0")</f>
        <v>665385,44|5,0,0</v>
      </c>
    </row>
    <row r="45" spans="1:5" x14ac:dyDescent="0.25">
      <c r="A45" t="str">
        <f>CONCATENATE(665340,",",ROW(CCTTCR_06609!A45),"|",COLUMN(CCTTCR_06609!A45),",0",",0")</f>
        <v>665340,45|1,0,0</v>
      </c>
      <c r="B45" t="str">
        <f>CONCATENATE(665219,",",ROW(CCTTCR_06609!B45),"|",COLUMN(CCTTCR_06609!B45),",0",",0")</f>
        <v>665219,45|2,0,0</v>
      </c>
      <c r="C45" t="str">
        <f>CONCATENATE(665181,",",ROW(CCTTCR_06609!C45),"|",COLUMN(CCTTCR_06609!C45),",0",",0")</f>
        <v>665181,45|3,0,0</v>
      </c>
      <c r="D45" t="str">
        <f>CONCATENATE(665251,",",ROW(CCTTCR_06609!D45),"|",COLUMN(CCTTCR_06609!D45),",0",",0")</f>
        <v>665251,45|4,0,0</v>
      </c>
      <c r="E45" t="str">
        <f>CONCATENATE(665203,",",ROW(CCTTCR_06609!E45),"|",COLUMN(CCTTCR_06609!E45),",0",",0")</f>
        <v>665203,45|5,0,0</v>
      </c>
    </row>
    <row r="46" spans="1:5" x14ac:dyDescent="0.25">
      <c r="A46" t="str">
        <f>CONCATENATE(665359,",",ROW(CCTTCR_06609!A46),"|",COLUMN(CCTTCR_06609!A46),",0",",0")</f>
        <v>665359,46|1,0,0</v>
      </c>
      <c r="B46" t="str">
        <f>CONCATENATE(665259,",",ROW(CCTTCR_06609!B46),"|",COLUMN(CCTTCR_06609!B46),",0",",0")</f>
        <v>665259,46|2,0,0</v>
      </c>
      <c r="C46" t="str">
        <f>CONCATENATE(665346,",",ROW(CCTTCR_06609!C46),"|",COLUMN(CCTTCR_06609!C46),",0",",0")</f>
        <v>665346,46|3,0,0</v>
      </c>
      <c r="D46" t="str">
        <f>CONCATENATE(665292,",",ROW(CCTTCR_06609!D46),"|",COLUMN(CCTTCR_06609!D46),",0",",0")</f>
        <v>665292,46|4,0,0</v>
      </c>
      <c r="E46" t="str">
        <f>CONCATENATE(665386,",",ROW(CCTTCR_06609!E46),"|",COLUMN(CCTTCR_06609!E46),",0",",0")</f>
        <v>665386,46|5,0,0</v>
      </c>
    </row>
    <row r="47" spans="1:5" x14ac:dyDescent="0.25">
      <c r="A47" t="str">
        <f>CONCATENATE(665209,",",ROW(CCTTCR_06609!A47),"|",COLUMN(CCTTCR_06609!A47),",0",",0")</f>
        <v>665209,47|1,0,0</v>
      </c>
      <c r="B47" t="str">
        <f>CONCATENATE(665278,",",ROW(CCTTCR_06609!B47),"|",COLUMN(CCTTCR_06609!B47),",0",",0")</f>
        <v>665278,47|2,0,0</v>
      </c>
      <c r="C47" t="str">
        <f>CONCATENATE(665174,",",ROW(CCTTCR_06609!C47),"|",COLUMN(CCTTCR_06609!C47),",0",",0")</f>
        <v>665174,47|3,0,0</v>
      </c>
      <c r="D47" t="str">
        <f>CONCATENATE(665377,",",ROW(CCTTCR_06609!D47),"|",COLUMN(CCTTCR_06609!D47),",0",",0")</f>
        <v>665377,47|4,0,0</v>
      </c>
      <c r="E47" t="str">
        <f>CONCATENATE(665314,",",ROW(CCTTCR_06609!E47),"|",COLUMN(CCTTCR_06609!E47),",0",",0")</f>
        <v>665314,47|5,0,0</v>
      </c>
    </row>
    <row r="48" spans="1:5" x14ac:dyDescent="0.25">
      <c r="A48" t="str">
        <f>CONCATENATE(665360,",",ROW(CCTTCR_06609!A48),"|",COLUMN(CCTTCR_06609!A48),",0",",0")</f>
        <v>665360,48|1,0,0</v>
      </c>
      <c r="B48" t="str">
        <f>CONCATENATE(665260,",",ROW(CCTTCR_06609!B48),"|",COLUMN(CCTTCR_06609!B48),",0",",0")</f>
        <v>665260,48|2,0,0</v>
      </c>
      <c r="C48" t="str">
        <f>CONCATENATE(665347,",",ROW(CCTTCR_06609!C48),"|",COLUMN(CCTTCR_06609!C48),",0",",0")</f>
        <v>665347,48|3,0,0</v>
      </c>
      <c r="D48" t="str">
        <f>CONCATENATE(665293,",",ROW(CCTTCR_06609!D48),"|",COLUMN(CCTTCR_06609!D48),",0",",0")</f>
        <v>665293,48|4,0,0</v>
      </c>
      <c r="E48" t="str">
        <f>CONCATENATE(665387,",",ROW(CCTTCR_06609!E48),"|",COLUMN(CCTTCR_06609!E48),",0",",0")</f>
        <v>665387,48|5,0,0</v>
      </c>
    </row>
  </sheetData>
  <sheetProtection password="CB7D"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74"/>
  <sheetViews>
    <sheetView workbookViewId="0">
      <selection activeCell="A6" sqref="A6:A74"/>
    </sheetView>
  </sheetViews>
  <sheetFormatPr defaultRowHeight="15" x14ac:dyDescent="0.25"/>
  <cols>
    <col min="1" max="1" width="31.28515625" bestFit="1" customWidth="1"/>
    <col min="2" max="2" width="12.7109375" bestFit="1" customWidth="1"/>
    <col min="3" max="3" width="16.7109375" bestFit="1" customWidth="1"/>
    <col min="4" max="4" width="19.42578125" customWidth="1"/>
    <col min="5" max="5" width="19.5703125" customWidth="1"/>
  </cols>
  <sheetData>
    <row r="1" spans="1:5" ht="20.25" x14ac:dyDescent="0.3">
      <c r="A1" s="1616" t="s">
        <v>12</v>
      </c>
      <c r="B1" s="1616" t="s">
        <v>5</v>
      </c>
      <c r="C1" s="1616" t="s">
        <v>5</v>
      </c>
      <c r="D1" s="1616" t="s">
        <v>5</v>
      </c>
      <c r="E1" s="1616" t="s">
        <v>5</v>
      </c>
    </row>
    <row r="2" spans="1:5" ht="18.75" x14ac:dyDescent="0.3">
      <c r="A2" s="1617" t="s">
        <v>390</v>
      </c>
      <c r="B2" s="1617" t="s">
        <v>5</v>
      </c>
      <c r="C2" s="1617" t="s">
        <v>5</v>
      </c>
      <c r="D2" s="1617" t="s">
        <v>5</v>
      </c>
      <c r="E2" s="1617" t="s">
        <v>5</v>
      </c>
    </row>
    <row r="3" spans="1:5" ht="18.75" x14ac:dyDescent="0.3">
      <c r="A3" s="1617" t="s">
        <v>391</v>
      </c>
      <c r="B3" s="1617" t="s">
        <v>5</v>
      </c>
      <c r="C3" s="1617" t="s">
        <v>5</v>
      </c>
      <c r="D3" s="1617" t="s">
        <v>5</v>
      </c>
      <c r="E3" s="1617" t="s">
        <v>5</v>
      </c>
    </row>
    <row r="4" spans="1:5" ht="18.75" x14ac:dyDescent="0.25">
      <c r="A4" s="583" t="s">
        <v>387</v>
      </c>
      <c r="B4" s="583" t="s">
        <v>31</v>
      </c>
      <c r="C4" s="583" t="s">
        <v>32</v>
      </c>
      <c r="D4" s="583" t="s">
        <v>388</v>
      </c>
      <c r="E4" s="583" t="s">
        <v>389</v>
      </c>
    </row>
    <row r="5" spans="1:5" ht="16.5" x14ac:dyDescent="0.25">
      <c r="A5" s="603" t="s">
        <v>40</v>
      </c>
      <c r="B5" s="638" t="s">
        <v>115</v>
      </c>
      <c r="C5" s="789" t="s">
        <v>80</v>
      </c>
      <c r="D5" s="639" t="s">
        <v>224</v>
      </c>
      <c r="E5" s="790" t="s">
        <v>81</v>
      </c>
    </row>
    <row r="6" spans="1:5" ht="49.5" x14ac:dyDescent="0.25">
      <c r="A6" s="584" t="s">
        <v>392</v>
      </c>
      <c r="B6" s="744" t="s">
        <v>337</v>
      </c>
      <c r="C6" s="624"/>
      <c r="D6" s="1978" t="s">
        <v>5</v>
      </c>
      <c r="E6" s="1979" t="s">
        <v>5</v>
      </c>
    </row>
    <row r="7" spans="1:5" ht="49.5" x14ac:dyDescent="0.25">
      <c r="A7" s="713" t="s">
        <v>457</v>
      </c>
      <c r="B7" s="587"/>
      <c r="C7" s="746"/>
      <c r="D7" s="1980" t="s">
        <v>5</v>
      </c>
      <c r="E7" s="1981" t="s">
        <v>5</v>
      </c>
    </row>
    <row r="8" spans="1:5" ht="49.5" x14ac:dyDescent="0.25">
      <c r="A8" s="604" t="s">
        <v>404</v>
      </c>
      <c r="B8" s="680" t="s">
        <v>448</v>
      </c>
      <c r="C8" s="608"/>
      <c r="D8" s="1982">
        <v>112194000</v>
      </c>
      <c r="E8" s="1983">
        <v>5183365815</v>
      </c>
    </row>
    <row r="9" spans="1:5" ht="66" x14ac:dyDescent="0.25">
      <c r="A9" s="791" t="s">
        <v>505</v>
      </c>
      <c r="B9" s="741" t="s">
        <v>224</v>
      </c>
      <c r="C9" s="647"/>
      <c r="D9" s="1984">
        <v>277812477361</v>
      </c>
      <c r="E9" s="1985">
        <v>21170339209</v>
      </c>
    </row>
    <row r="10" spans="1:5" ht="49.5" x14ac:dyDescent="0.25">
      <c r="A10" s="734" t="s">
        <v>472</v>
      </c>
      <c r="B10" s="742" t="s">
        <v>479</v>
      </c>
      <c r="C10" s="778"/>
      <c r="D10" s="1986">
        <v>1239264970</v>
      </c>
      <c r="E10" s="1987">
        <v>3170022002</v>
      </c>
    </row>
    <row r="11" spans="1:5" ht="49.5" x14ac:dyDescent="0.25">
      <c r="A11" s="714" t="s">
        <v>458</v>
      </c>
      <c r="B11" s="618" t="s">
        <v>416</v>
      </c>
      <c r="C11" s="779"/>
      <c r="D11" s="1988">
        <v>276461018391</v>
      </c>
      <c r="E11" s="1989">
        <v>12816951392</v>
      </c>
    </row>
    <row r="12" spans="1:5" ht="66" x14ac:dyDescent="0.25">
      <c r="A12" s="735" t="s">
        <v>473</v>
      </c>
      <c r="B12" s="675" t="s">
        <v>383</v>
      </c>
      <c r="C12" s="620"/>
      <c r="D12" s="1990" t="s">
        <v>5</v>
      </c>
      <c r="E12" s="1991" t="s">
        <v>5</v>
      </c>
    </row>
    <row r="13" spans="1:5" ht="66" x14ac:dyDescent="0.25">
      <c r="A13" s="774" t="s">
        <v>495</v>
      </c>
      <c r="B13" s="743" t="s">
        <v>480</v>
      </c>
      <c r="C13" s="623"/>
      <c r="D13" s="1992">
        <v>2163225850</v>
      </c>
      <c r="E13" s="1993">
        <v>4440870793</v>
      </c>
    </row>
    <row r="14" spans="1:5" ht="49.5" x14ac:dyDescent="0.25">
      <c r="A14" s="585" t="s">
        <v>393</v>
      </c>
      <c r="B14" s="681" t="s">
        <v>372</v>
      </c>
      <c r="C14" s="625"/>
      <c r="D14" s="1994" t="s">
        <v>5</v>
      </c>
      <c r="E14" s="1995" t="s">
        <v>5</v>
      </c>
    </row>
    <row r="15" spans="1:5" ht="49.5" x14ac:dyDescent="0.25">
      <c r="A15" s="715" t="s">
        <v>459</v>
      </c>
      <c r="B15" s="588" t="s">
        <v>395</v>
      </c>
      <c r="C15" s="626"/>
      <c r="D15" s="1996">
        <v>868480434</v>
      </c>
      <c r="E15" s="1997">
        <v>3867342159</v>
      </c>
    </row>
    <row r="16" spans="1:5" ht="66" x14ac:dyDescent="0.25">
      <c r="A16" s="731" t="s">
        <v>469</v>
      </c>
      <c r="B16" s="619" t="s">
        <v>417</v>
      </c>
      <c r="C16" s="627"/>
      <c r="D16" s="1998" t="s">
        <v>5</v>
      </c>
      <c r="E16" s="1999" t="s">
        <v>5</v>
      </c>
    </row>
    <row r="17" spans="1:5" ht="49.5" x14ac:dyDescent="0.25">
      <c r="A17" s="716" t="s">
        <v>460</v>
      </c>
      <c r="B17" s="589" t="s">
        <v>396</v>
      </c>
      <c r="C17" s="628"/>
      <c r="D17" s="2000" t="s">
        <v>5</v>
      </c>
      <c r="E17" s="2001" t="s">
        <v>5</v>
      </c>
    </row>
    <row r="18" spans="1:5" ht="49.5" x14ac:dyDescent="0.25">
      <c r="A18" s="640" t="s">
        <v>425</v>
      </c>
      <c r="B18" s="590" t="s">
        <v>397</v>
      </c>
      <c r="C18" s="629"/>
      <c r="D18" s="2002">
        <v>271231045</v>
      </c>
      <c r="E18" s="2003">
        <v>390102113</v>
      </c>
    </row>
    <row r="19" spans="1:5" ht="49.5" x14ac:dyDescent="0.25">
      <c r="A19" s="641" t="s">
        <v>426</v>
      </c>
      <c r="B19" s="676" t="s">
        <v>445</v>
      </c>
      <c r="C19" s="630"/>
      <c r="D19" s="2004">
        <v>215225000</v>
      </c>
      <c r="E19" s="2005">
        <v>860000000</v>
      </c>
    </row>
    <row r="20" spans="1:5" ht="49.5" x14ac:dyDescent="0.25">
      <c r="A20" s="736" t="s">
        <v>474</v>
      </c>
      <c r="B20" s="761" t="s">
        <v>486</v>
      </c>
      <c r="C20" s="653"/>
      <c r="D20" s="2006">
        <v>12176000</v>
      </c>
      <c r="E20" s="2007">
        <v>4376000</v>
      </c>
    </row>
    <row r="21" spans="1:5" ht="49.5" x14ac:dyDescent="0.25">
      <c r="A21" s="747" t="s">
        <v>482</v>
      </c>
      <c r="B21" s="677" t="s">
        <v>446</v>
      </c>
      <c r="C21" s="654"/>
      <c r="D21" s="2008">
        <v>281342815690</v>
      </c>
      <c r="E21" s="2009">
        <v>30733030274</v>
      </c>
    </row>
    <row r="22" spans="1:5" ht="33" x14ac:dyDescent="0.25">
      <c r="A22" s="642" t="s">
        <v>427</v>
      </c>
      <c r="B22" s="582" t="s">
        <v>5</v>
      </c>
      <c r="C22" s="655"/>
      <c r="D22" s="2010" t="s">
        <v>5</v>
      </c>
      <c r="E22" s="2011" t="s">
        <v>5</v>
      </c>
    </row>
    <row r="23" spans="1:5" ht="66" x14ac:dyDescent="0.25">
      <c r="A23" s="643" t="s">
        <v>428</v>
      </c>
      <c r="B23" s="762" t="s">
        <v>339</v>
      </c>
      <c r="C23" s="656"/>
      <c r="D23" s="2012">
        <v>19474297811</v>
      </c>
      <c r="E23" s="2013">
        <v>23969144684</v>
      </c>
    </row>
    <row r="24" spans="1:5" ht="49.5" x14ac:dyDescent="0.25">
      <c r="A24" s="748" t="s">
        <v>483</v>
      </c>
      <c r="B24" s="763" t="s">
        <v>363</v>
      </c>
      <c r="C24" s="657"/>
      <c r="D24" s="2014">
        <v>18713967191</v>
      </c>
      <c r="E24" s="2015">
        <v>6650610683</v>
      </c>
    </row>
    <row r="25" spans="1:5" ht="49.5" x14ac:dyDescent="0.25">
      <c r="A25" s="611" t="s">
        <v>409</v>
      </c>
      <c r="B25" s="591" t="s">
        <v>398</v>
      </c>
      <c r="C25" s="658"/>
      <c r="D25" s="2016">
        <v>760330620</v>
      </c>
      <c r="E25" s="2017">
        <v>17318534001</v>
      </c>
    </row>
    <row r="26" spans="1:5" ht="49.5" x14ac:dyDescent="0.25">
      <c r="A26" s="737" t="s">
        <v>475</v>
      </c>
      <c r="B26" s="592" t="s">
        <v>386</v>
      </c>
      <c r="C26" s="659"/>
      <c r="D26" s="2018" t="s">
        <v>5</v>
      </c>
      <c r="E26" s="2019" t="s">
        <v>5</v>
      </c>
    </row>
    <row r="27" spans="1:5" ht="49.5" x14ac:dyDescent="0.25">
      <c r="A27" s="759" t="s">
        <v>484</v>
      </c>
      <c r="B27" s="593" t="s">
        <v>364</v>
      </c>
      <c r="C27" s="660"/>
      <c r="D27" s="2020" t="s">
        <v>5</v>
      </c>
      <c r="E27" s="2021" t="s">
        <v>5</v>
      </c>
    </row>
    <row r="28" spans="1:5" ht="82.5" x14ac:dyDescent="0.25">
      <c r="A28" s="738" t="s">
        <v>476</v>
      </c>
      <c r="B28" s="678" t="s">
        <v>302</v>
      </c>
      <c r="C28" s="661"/>
      <c r="D28" s="2022" t="s">
        <v>5</v>
      </c>
      <c r="E28" s="2023" t="s">
        <v>5</v>
      </c>
    </row>
    <row r="29" spans="1:5" ht="115.5" x14ac:dyDescent="0.25">
      <c r="A29" s="605" t="s">
        <v>405</v>
      </c>
      <c r="B29" s="775" t="s">
        <v>496</v>
      </c>
      <c r="C29" s="662"/>
      <c r="D29" s="2024">
        <v>-2764469350</v>
      </c>
      <c r="E29" s="2025">
        <v>-6540494292</v>
      </c>
    </row>
    <row r="30" spans="1:5" ht="49.5" x14ac:dyDescent="0.25">
      <c r="A30" s="771" t="s">
        <v>492</v>
      </c>
      <c r="B30" s="776" t="s">
        <v>351</v>
      </c>
      <c r="C30" s="663"/>
      <c r="D30" s="2026" t="s">
        <v>5</v>
      </c>
      <c r="E30" s="2027" t="s">
        <v>5</v>
      </c>
    </row>
    <row r="31" spans="1:5" ht="49.5" x14ac:dyDescent="0.25">
      <c r="A31" s="772" t="s">
        <v>493</v>
      </c>
      <c r="B31" s="665" t="s">
        <v>435</v>
      </c>
      <c r="C31" s="664"/>
      <c r="D31" s="2028">
        <v>238069120</v>
      </c>
      <c r="E31" s="2029">
        <v>244854619</v>
      </c>
    </row>
    <row r="32" spans="1:5" ht="49.5" x14ac:dyDescent="0.25">
      <c r="A32" s="760" t="s">
        <v>485</v>
      </c>
      <c r="B32" s="764" t="s">
        <v>352</v>
      </c>
      <c r="C32" s="719"/>
      <c r="D32" s="2030">
        <v>2549813847</v>
      </c>
      <c r="E32" s="2031">
        <v>5511340975</v>
      </c>
    </row>
    <row r="33" spans="1:5" ht="66" x14ac:dyDescent="0.25">
      <c r="A33" s="612" t="s">
        <v>410</v>
      </c>
      <c r="B33" s="594" t="s">
        <v>353</v>
      </c>
      <c r="C33" s="720"/>
      <c r="D33" s="2032">
        <v>0</v>
      </c>
      <c r="E33" s="2033">
        <v>0</v>
      </c>
    </row>
    <row r="34" spans="1:5" ht="49.5" x14ac:dyDescent="0.25">
      <c r="A34" s="644" t="s">
        <v>429</v>
      </c>
      <c r="B34" s="595" t="s">
        <v>367</v>
      </c>
      <c r="C34" s="721"/>
      <c r="D34" s="2034">
        <v>0</v>
      </c>
      <c r="E34" s="2035">
        <v>0</v>
      </c>
    </row>
    <row r="35" spans="1:5" ht="49.5" x14ac:dyDescent="0.25">
      <c r="A35" s="606" t="s">
        <v>406</v>
      </c>
      <c r="B35" s="682" t="s">
        <v>348</v>
      </c>
      <c r="C35" s="722"/>
      <c r="D35" s="2036">
        <v>312622775</v>
      </c>
      <c r="E35" s="2037">
        <v>404503378</v>
      </c>
    </row>
    <row r="36" spans="1:5" ht="49.5" x14ac:dyDescent="0.25">
      <c r="A36" s="607" t="s">
        <v>407</v>
      </c>
      <c r="B36" s="596" t="s">
        <v>305</v>
      </c>
      <c r="C36" s="723"/>
      <c r="D36" s="2038">
        <v>696202214</v>
      </c>
      <c r="E36" s="2039">
        <v>1310044011</v>
      </c>
    </row>
    <row r="37" spans="1:5" ht="33" x14ac:dyDescent="0.25">
      <c r="A37" s="739" t="s">
        <v>477</v>
      </c>
      <c r="B37" s="597" t="s">
        <v>355</v>
      </c>
      <c r="C37" s="717"/>
      <c r="D37" s="2040">
        <v>872058472</v>
      </c>
      <c r="E37" s="2041">
        <v>1705248479</v>
      </c>
    </row>
    <row r="38" spans="1:5" ht="49.5" x14ac:dyDescent="0.25">
      <c r="A38" s="648" t="s">
        <v>430</v>
      </c>
      <c r="B38" s="683" t="s">
        <v>449</v>
      </c>
      <c r="C38" s="749"/>
      <c r="D38" s="2042">
        <v>21378594889</v>
      </c>
      <c r="E38" s="2043">
        <v>26604641854</v>
      </c>
    </row>
    <row r="39" spans="1:5" ht="49.5" x14ac:dyDescent="0.25">
      <c r="A39" s="672" t="s">
        <v>442</v>
      </c>
      <c r="B39" s="582" t="s">
        <v>5</v>
      </c>
      <c r="C39" s="750"/>
      <c r="D39" s="2044" t="s">
        <v>5</v>
      </c>
      <c r="E39" s="2045" t="s">
        <v>5</v>
      </c>
    </row>
    <row r="40" spans="1:5" ht="49.5" x14ac:dyDescent="0.25">
      <c r="A40" s="649" t="s">
        <v>431</v>
      </c>
      <c r="B40" s="684" t="s">
        <v>450</v>
      </c>
      <c r="C40" s="751"/>
      <c r="D40" s="2046" t="s">
        <v>5</v>
      </c>
      <c r="E40" s="2047" t="s">
        <v>5</v>
      </c>
    </row>
    <row r="41" spans="1:5" ht="66" x14ac:dyDescent="0.25">
      <c r="A41" s="650" t="s">
        <v>432</v>
      </c>
      <c r="B41" s="666" t="s">
        <v>436</v>
      </c>
      <c r="C41" s="752"/>
      <c r="D41" s="2048">
        <v>57891821</v>
      </c>
      <c r="E41" s="2049">
        <v>108355081</v>
      </c>
    </row>
    <row r="42" spans="1:5" ht="66" x14ac:dyDescent="0.25">
      <c r="A42" s="673" t="s">
        <v>443</v>
      </c>
      <c r="B42" s="777" t="s">
        <v>497</v>
      </c>
      <c r="C42" s="753"/>
      <c r="D42" s="2050" t="s">
        <v>5</v>
      </c>
      <c r="E42" s="2051" t="s">
        <v>5</v>
      </c>
    </row>
    <row r="43" spans="1:5" ht="33" x14ac:dyDescent="0.25">
      <c r="A43" s="780" t="s">
        <v>498</v>
      </c>
      <c r="B43" s="765" t="s">
        <v>487</v>
      </c>
      <c r="C43" s="754"/>
      <c r="D43" s="2052">
        <v>0</v>
      </c>
      <c r="E43" s="2053">
        <v>8028277779</v>
      </c>
    </row>
    <row r="44" spans="1:5" ht="49.5" x14ac:dyDescent="0.25">
      <c r="A44" s="651" t="s">
        <v>433</v>
      </c>
      <c r="B44" s="685" t="s">
        <v>451</v>
      </c>
      <c r="C44" s="755"/>
      <c r="D44" s="2054">
        <v>57891821</v>
      </c>
      <c r="E44" s="2055">
        <v>8136632860</v>
      </c>
    </row>
    <row r="45" spans="1:5" ht="33" x14ac:dyDescent="0.25">
      <c r="A45" s="781" t="s">
        <v>499</v>
      </c>
      <c r="B45" s="582" t="s">
        <v>5</v>
      </c>
      <c r="C45" s="756"/>
      <c r="D45" s="2056" t="s">
        <v>5</v>
      </c>
      <c r="E45" s="2057" t="s">
        <v>5</v>
      </c>
    </row>
    <row r="46" spans="1:5" ht="49.5" x14ac:dyDescent="0.25">
      <c r="A46" s="718" t="s">
        <v>461</v>
      </c>
      <c r="B46" s="766" t="s">
        <v>488</v>
      </c>
      <c r="C46" s="757"/>
      <c r="D46" s="2058" t="s">
        <v>5</v>
      </c>
      <c r="E46" s="2059" t="s">
        <v>5</v>
      </c>
    </row>
    <row r="47" spans="1:5" ht="33" x14ac:dyDescent="0.25">
      <c r="A47" s="632" t="s">
        <v>419</v>
      </c>
      <c r="B47" s="686" t="s">
        <v>452</v>
      </c>
      <c r="C47" s="758"/>
      <c r="D47" s="2060">
        <v>5921038901</v>
      </c>
      <c r="E47" s="2061">
        <v>7987834480</v>
      </c>
    </row>
    <row r="48" spans="1:5" ht="66" x14ac:dyDescent="0.25">
      <c r="A48" s="613" t="s">
        <v>411</v>
      </c>
      <c r="B48" s="687" t="s">
        <v>453</v>
      </c>
      <c r="C48" s="621"/>
      <c r="D48" s="2062"/>
      <c r="E48" s="2063"/>
    </row>
    <row r="49" spans="1:5" ht="66" x14ac:dyDescent="0.25">
      <c r="A49" s="782" t="s">
        <v>500</v>
      </c>
      <c r="B49" s="669" t="s">
        <v>439</v>
      </c>
      <c r="C49" s="622"/>
      <c r="D49" s="2064" t="s">
        <v>5</v>
      </c>
      <c r="E49" s="2065" t="s">
        <v>5</v>
      </c>
    </row>
    <row r="50" spans="1:5" ht="33" x14ac:dyDescent="0.25">
      <c r="A50" s="633" t="s">
        <v>420</v>
      </c>
      <c r="B50" s="667" t="s">
        <v>437</v>
      </c>
      <c r="C50" s="609"/>
      <c r="D50" s="2066" t="s">
        <v>5</v>
      </c>
      <c r="E50" s="2067" t="s">
        <v>5</v>
      </c>
    </row>
    <row r="51" spans="1:5" ht="49.5" x14ac:dyDescent="0.25">
      <c r="A51" s="614" t="s">
        <v>412</v>
      </c>
      <c r="B51" s="668" t="s">
        <v>438</v>
      </c>
      <c r="C51" s="689"/>
      <c r="D51" s="2068">
        <v>5921038901</v>
      </c>
      <c r="E51" s="2069">
        <v>7987834480</v>
      </c>
    </row>
    <row r="52" spans="1:5" ht="33" x14ac:dyDescent="0.25">
      <c r="A52" s="634" t="s">
        <v>421</v>
      </c>
      <c r="B52" s="598" t="s">
        <v>399</v>
      </c>
      <c r="C52" s="690"/>
      <c r="D52" s="2070">
        <v>0</v>
      </c>
      <c r="E52" s="2071">
        <v>0</v>
      </c>
    </row>
    <row r="53" spans="1:5" ht="66" x14ac:dyDescent="0.25">
      <c r="A53" s="727" t="s">
        <v>465</v>
      </c>
      <c r="B53" s="767" t="s">
        <v>489</v>
      </c>
      <c r="C53" s="691"/>
      <c r="D53" s="2072">
        <v>10872517757</v>
      </c>
      <c r="E53" s="2073">
        <v>12548848505</v>
      </c>
    </row>
    <row r="54" spans="1:5" ht="66" x14ac:dyDescent="0.25">
      <c r="A54" s="745" t="s">
        <v>481</v>
      </c>
      <c r="B54" s="724" t="s">
        <v>462</v>
      </c>
      <c r="C54" s="692"/>
      <c r="D54" s="2074">
        <v>243228555964</v>
      </c>
      <c r="E54" s="2075">
        <v>-8271661705</v>
      </c>
    </row>
    <row r="55" spans="1:5" ht="49.5" x14ac:dyDescent="0.25">
      <c r="A55" s="728" t="s">
        <v>466</v>
      </c>
      <c r="B55" s="582" t="s">
        <v>5</v>
      </c>
      <c r="C55" s="693"/>
      <c r="D55" s="2076" t="s">
        <v>5</v>
      </c>
      <c r="E55" s="2077" t="s">
        <v>5</v>
      </c>
    </row>
    <row r="56" spans="1:5" ht="33" x14ac:dyDescent="0.25">
      <c r="A56" s="652" t="s">
        <v>434</v>
      </c>
      <c r="B56" s="725" t="s">
        <v>463</v>
      </c>
      <c r="C56" s="694"/>
      <c r="D56" s="2078">
        <v>0</v>
      </c>
      <c r="E56" s="2079">
        <v>747222528</v>
      </c>
    </row>
    <row r="57" spans="1:5" ht="33" x14ac:dyDescent="0.25">
      <c r="A57" s="729" t="s">
        <v>467</v>
      </c>
      <c r="B57" s="688" t="s">
        <v>454</v>
      </c>
      <c r="C57" s="695"/>
      <c r="D57" s="2080">
        <v>290060583</v>
      </c>
      <c r="E57" s="2081">
        <v>1288596663</v>
      </c>
    </row>
    <row r="58" spans="1:5" ht="49.5" x14ac:dyDescent="0.25">
      <c r="A58" s="631" t="s">
        <v>418</v>
      </c>
      <c r="B58" s="784" t="s">
        <v>502</v>
      </c>
      <c r="C58" s="696"/>
      <c r="D58" s="2082">
        <v>-290060583</v>
      </c>
      <c r="E58" s="2083">
        <v>-541374135</v>
      </c>
    </row>
    <row r="59" spans="1:5" ht="66" x14ac:dyDescent="0.25">
      <c r="A59" s="610" t="s">
        <v>408</v>
      </c>
      <c r="B59" s="785" t="s">
        <v>503</v>
      </c>
      <c r="C59" s="697"/>
      <c r="D59" s="2084">
        <v>242938495381</v>
      </c>
      <c r="E59" s="2085">
        <v>-8813035840</v>
      </c>
    </row>
    <row r="60" spans="1:5" ht="33" x14ac:dyDescent="0.25">
      <c r="A60" s="700" t="s">
        <v>455</v>
      </c>
      <c r="B60" s="599" t="s">
        <v>400</v>
      </c>
      <c r="C60" s="698"/>
      <c r="D60" s="2086">
        <v>-32762192390</v>
      </c>
      <c r="E60" s="2087">
        <v>-4311453231</v>
      </c>
    </row>
    <row r="61" spans="1:5" ht="33" x14ac:dyDescent="0.25">
      <c r="A61" s="615" t="s">
        <v>413</v>
      </c>
      <c r="B61" s="670" t="s">
        <v>440</v>
      </c>
      <c r="C61" s="699"/>
      <c r="D61" s="2088">
        <v>275700687771</v>
      </c>
      <c r="E61" s="2089">
        <v>-4501582609</v>
      </c>
    </row>
    <row r="62" spans="1:5" ht="33" x14ac:dyDescent="0.25">
      <c r="A62" s="679" t="s">
        <v>447</v>
      </c>
      <c r="B62" s="768" t="s">
        <v>490</v>
      </c>
      <c r="C62" s="701"/>
      <c r="D62" s="2090">
        <v>48104854324</v>
      </c>
      <c r="E62" s="2091">
        <v>-900316522</v>
      </c>
    </row>
    <row r="63" spans="1:5" ht="49.5" x14ac:dyDescent="0.25">
      <c r="A63" s="635" t="s">
        <v>422</v>
      </c>
      <c r="B63" s="600" t="s">
        <v>401</v>
      </c>
      <c r="C63" s="702"/>
      <c r="D63" s="2092" t="s">
        <v>5</v>
      </c>
      <c r="E63" s="2093" t="s">
        <v>5</v>
      </c>
    </row>
    <row r="64" spans="1:5" ht="49.5" x14ac:dyDescent="0.25">
      <c r="A64" s="730" t="s">
        <v>468</v>
      </c>
      <c r="B64" s="726" t="s">
        <v>464</v>
      </c>
      <c r="C64" s="703"/>
      <c r="D64" s="2094">
        <v>48104854324</v>
      </c>
      <c r="E64" s="2095">
        <v>-900316522</v>
      </c>
    </row>
    <row r="65" spans="1:5" ht="66" x14ac:dyDescent="0.25">
      <c r="A65" s="732" t="s">
        <v>470</v>
      </c>
      <c r="B65" s="769" t="s">
        <v>91</v>
      </c>
      <c r="C65" s="704"/>
      <c r="D65" s="2096">
        <v>194833641057</v>
      </c>
      <c r="E65" s="2097">
        <v>-7912719318</v>
      </c>
    </row>
    <row r="66" spans="1:5" ht="66" x14ac:dyDescent="0.25">
      <c r="A66" s="636" t="s">
        <v>423</v>
      </c>
      <c r="B66" s="786" t="s">
        <v>259</v>
      </c>
      <c r="C66" s="705"/>
      <c r="D66" s="2098" t="s">
        <v>5</v>
      </c>
      <c r="E66" s="2099" t="s">
        <v>5</v>
      </c>
    </row>
    <row r="67" spans="1:5" ht="66" x14ac:dyDescent="0.25">
      <c r="A67" s="733" t="s">
        <v>471</v>
      </c>
      <c r="B67" s="601" t="s">
        <v>402</v>
      </c>
      <c r="C67" s="706"/>
      <c r="D67" s="2100" t="s">
        <v>5</v>
      </c>
      <c r="E67" s="2101" t="s">
        <v>5</v>
      </c>
    </row>
    <row r="68" spans="1:5" ht="66" x14ac:dyDescent="0.25">
      <c r="A68" s="773" t="s">
        <v>494</v>
      </c>
      <c r="B68" s="671" t="s">
        <v>441</v>
      </c>
      <c r="C68" s="707"/>
      <c r="D68" s="2102" t="s">
        <v>5</v>
      </c>
      <c r="E68" s="2103" t="s">
        <v>5</v>
      </c>
    </row>
    <row r="69" spans="1:5" ht="66" x14ac:dyDescent="0.25">
      <c r="A69" s="616" t="s">
        <v>414</v>
      </c>
      <c r="B69" s="770" t="s">
        <v>491</v>
      </c>
      <c r="C69" s="708"/>
      <c r="D69" s="2104" t="s">
        <v>5</v>
      </c>
      <c r="E69" s="2105" t="s">
        <v>5</v>
      </c>
    </row>
    <row r="70" spans="1:5" ht="33" x14ac:dyDescent="0.25">
      <c r="A70" s="637" t="s">
        <v>424</v>
      </c>
      <c r="B70" s="712" t="s">
        <v>456</v>
      </c>
      <c r="C70" s="709"/>
      <c r="D70" s="2106" t="s">
        <v>5</v>
      </c>
      <c r="E70" s="2107" t="s">
        <v>5</v>
      </c>
    </row>
    <row r="71" spans="1:5" ht="49.5" x14ac:dyDescent="0.25">
      <c r="A71" s="740" t="s">
        <v>478</v>
      </c>
      <c r="B71" s="787" t="s">
        <v>275</v>
      </c>
      <c r="C71" s="710"/>
      <c r="D71" s="2108" t="s">
        <v>5</v>
      </c>
      <c r="E71" s="2109" t="s">
        <v>5</v>
      </c>
    </row>
    <row r="72" spans="1:5" ht="82.5" x14ac:dyDescent="0.25">
      <c r="A72" s="617" t="s">
        <v>415</v>
      </c>
      <c r="B72" s="602" t="s">
        <v>403</v>
      </c>
      <c r="C72" s="711"/>
      <c r="D72" s="2110" t="s">
        <v>5</v>
      </c>
      <c r="E72" s="2111" t="s">
        <v>5</v>
      </c>
    </row>
    <row r="73" spans="1:5" ht="66" x14ac:dyDescent="0.25">
      <c r="A73" s="674" t="s">
        <v>444</v>
      </c>
      <c r="B73" s="788" t="s">
        <v>504</v>
      </c>
      <c r="C73" s="645"/>
      <c r="D73" s="2112" t="s">
        <v>5</v>
      </c>
      <c r="E73" s="2113" t="s">
        <v>5</v>
      </c>
    </row>
    <row r="74" spans="1:5" ht="49.5" x14ac:dyDescent="0.25">
      <c r="A74" s="586" t="s">
        <v>394</v>
      </c>
      <c r="B74" s="783" t="s">
        <v>501</v>
      </c>
      <c r="C74" s="646"/>
      <c r="D74" s="2114" t="s">
        <v>5</v>
      </c>
      <c r="E74" s="2115" t="s">
        <v>5</v>
      </c>
    </row>
  </sheetData>
  <mergeCells count="3">
    <mergeCell ref="A1:E1"/>
    <mergeCell ref="A2:E2"/>
    <mergeCell ref="A3:E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5:E74"/>
  <sheetViews>
    <sheetView workbookViewId="0"/>
  </sheetViews>
  <sheetFormatPr defaultRowHeight="15" x14ac:dyDescent="0.25"/>
  <cols>
    <col min="1" max="1" width="1" style="435" bestFit="1" customWidth="1"/>
    <col min="2" max="5" width="1" bestFit="1" customWidth="1"/>
  </cols>
  <sheetData>
    <row r="5" spans="1:5" x14ac:dyDescent="0.25">
      <c r="A5" t="str">
        <f>CONCATENATE(664470,",",ROW(BCKQHDR_06610!A5),"|",COLUMN(BCKQHDR_06610!A5),",0",",0")</f>
        <v>664470,5|1,0,0</v>
      </c>
      <c r="B5" t="str">
        <f>CONCATENATE(664603,",",ROW(BCKQHDR_06610!B5),"|",COLUMN(BCKQHDR_06610!B5),",0",",0")</f>
        <v>664603,5|2,0,0</v>
      </c>
      <c r="C5" t="str">
        <f>CONCATENATE(664794,",",ROW(BCKQHDR_06610!C5),"|",COLUMN(BCKQHDR_06610!C5),",0",",0")</f>
        <v>664794,5|3,0,0</v>
      </c>
      <c r="D5" t="str">
        <f>CONCATENATE(664604,",",ROW(BCKQHDR_06610!D5),"|",COLUMN(BCKQHDR_06610!D5),",0",",0")</f>
        <v>664604,5|4,0,0</v>
      </c>
      <c r="E5" t="str">
        <f>CONCATENATE(664795,",",ROW(BCKQHDR_06610!E5),"|",COLUMN(BCKQHDR_06610!E5),",0",",0")</f>
        <v>664795,5|5,0,0</v>
      </c>
    </row>
    <row r="6" spans="1:5" x14ac:dyDescent="0.25">
      <c r="A6" t="str">
        <f>CONCATENATE(664451,",",ROW(BCKQHDR_06610!A6),"|",COLUMN(BCKQHDR_06610!A6),",0",",0")</f>
        <v>664451,6|1,0,0</v>
      </c>
      <c r="B6" t="str">
        <f>CONCATENATE(664724,",",ROW(BCKQHDR_06610!B6),"|",COLUMN(BCKQHDR_06610!B6),",0",",0")</f>
        <v>664724,6|2,0,0</v>
      </c>
      <c r="C6" t="str">
        <f>CONCATENATE(664570,",",ROW(BCKQHDR_06610!C6),"|",COLUMN(BCKQHDR_06610!C6),",0",",0")</f>
        <v>664570,6|3,0,0</v>
      </c>
      <c r="D6" t="str">
        <f>CONCATENATE(664522,",",ROW(BCKQHDR_06610!D6),"|",COLUMN(BCKQHDR_06610!D6),",0",",0")</f>
        <v>664522,6|4,0,0</v>
      </c>
      <c r="E6" t="str">
        <f>CONCATENATE(664496,",",ROW(BCKQHDR_06610!E6),"|",COLUMN(BCKQHDR_06610!E6),",0",",0")</f>
        <v>664496,6|5,0,0</v>
      </c>
    </row>
    <row r="7" spans="1:5" x14ac:dyDescent="0.25">
      <c r="A7" t="str">
        <f>CONCATENATE(664686,",",ROW(BCKQHDR_06610!A7),"|",COLUMN(BCKQHDR_06610!A7),",0",",0")</f>
        <v>664686,7|1,0,0</v>
      </c>
      <c r="B7" t="str">
        <f>CONCATENATE(664454,",",ROW(BCKQHDR_06610!B7),"|",COLUMN(BCKQHDR_06610!B7),",0",",0")</f>
        <v>664454,7|2,0,0</v>
      </c>
      <c r="C7" t="str">
        <f>CONCATENATE(664740,",",ROW(BCKQHDR_06610!C7),"|",COLUMN(BCKQHDR_06610!C7),",0",",0")</f>
        <v>664740,7|3,0,0</v>
      </c>
      <c r="D7" t="str">
        <f>CONCATENATE(664566,",",ROW(BCKQHDR_06610!D7),"|",COLUMN(BCKQHDR_06610!D7),",0",",0")</f>
        <v>664566,7|4,0,0</v>
      </c>
      <c r="E7" t="str">
        <f>CONCATENATE(664727,",",ROW(BCKQHDR_06610!E7),"|",COLUMN(BCKQHDR_06610!E7),",0",",0")</f>
        <v>664727,7|5,0,0</v>
      </c>
    </row>
    <row r="8" spans="1:5" x14ac:dyDescent="0.25">
      <c r="A8" t="str">
        <f>CONCATENATE(664471,",",ROW(BCKQHDR_06610!A8),"|",COLUMN(BCKQHDR_06610!A8),",0",",0")</f>
        <v>664471,8|1,0,0</v>
      </c>
      <c r="B8" t="str">
        <f>CONCATENATE(664653,",",ROW(BCKQHDR_06610!B8),"|",COLUMN(BCKQHDR_06610!B8),",0",",0")</f>
        <v>664653,8|2,0,0</v>
      </c>
      <c r="C8" t="str">
        <f>CONCATENATE(664475,",",ROW(BCKQHDR_06610!C8),"|",COLUMN(BCKQHDR_06610!C8),",0",",0")</f>
        <v>664475,8|3,0,0</v>
      </c>
      <c r="D8" t="str">
        <f>CONCATENATE(664519,",",ROW(BCKQHDR_06610!D8),"|",COLUMN(BCKQHDR_06610!D8),",0",",0")</f>
        <v>664519,8|4,0,0</v>
      </c>
      <c r="E8" t="str">
        <f>CONCATENATE(664493,",",ROW(BCKQHDR_06610!E8),"|",COLUMN(BCKQHDR_06610!E8),",0",",0")</f>
        <v>664493,8|5,0,0</v>
      </c>
    </row>
    <row r="9" spans="1:5" x14ac:dyDescent="0.25">
      <c r="A9" t="str">
        <f>CONCATENATE(664796,",",ROW(BCKQHDR_06610!A9),"|",COLUMN(BCKQHDR_06610!A9),",0",",0")</f>
        <v>664796,9|1,0,0</v>
      </c>
      <c r="B9" t="str">
        <f>CONCATENATE(664721,",",ROW(BCKQHDR_06610!B9),"|",COLUMN(BCKQHDR_06610!B9),",0",",0")</f>
        <v>664721,9|2,0,0</v>
      </c>
      <c r="C9" t="str">
        <f>CONCATENATE(664620,",",ROW(BCKQHDR_06610!C9),"|",COLUMN(BCKQHDR_06610!C9),",0",",0")</f>
        <v>664620,9|3,0,0</v>
      </c>
      <c r="D9" t="str">
        <f>CONCATENATE(664516,",",ROW(BCKQHDR_06610!D9),"|",COLUMN(BCKQHDR_06610!D9),",0",",0")</f>
        <v>664516,9|4,0,0</v>
      </c>
      <c r="E9" t="str">
        <f>CONCATENATE(664490,",",ROW(BCKQHDR_06610!E9),"|",COLUMN(BCKQHDR_06610!E9),",0",",0")</f>
        <v>664490,9|5,0,0</v>
      </c>
    </row>
    <row r="10" spans="1:5" x14ac:dyDescent="0.25">
      <c r="A10" t="str">
        <f>CONCATENATE(664714,",",ROW(BCKQHDR_06610!A10),"|",COLUMN(BCKQHDR_06610!A10),",0",",0")</f>
        <v>664714,10|1,0,0</v>
      </c>
      <c r="B10" t="str">
        <f>CONCATENATE(664722,",",ROW(BCKQHDR_06610!B10),"|",COLUMN(BCKQHDR_06610!B10),",0",",0")</f>
        <v>664722,10|2,0,0</v>
      </c>
      <c r="C10" t="str">
        <f>CONCATENATE(664781,",",ROW(BCKQHDR_06610!C10),"|",COLUMN(BCKQHDR_06610!C10),",0",",0")</f>
        <v>664781,10|3,0,0</v>
      </c>
      <c r="D10" t="str">
        <f>CONCATENATE(664517,",",ROW(BCKQHDR_06610!D10),"|",COLUMN(BCKQHDR_06610!D10),",0",",0")</f>
        <v>664517,10|4,0,0</v>
      </c>
      <c r="E10" t="str">
        <f>CONCATENATE(664491,",",ROW(BCKQHDR_06610!E10),"|",COLUMN(BCKQHDR_06610!E10),",0",",0")</f>
        <v>664491,10|5,0,0</v>
      </c>
    </row>
    <row r="11" spans="1:5" x14ac:dyDescent="0.25">
      <c r="A11" t="str">
        <f>CONCATENATE(664687,",",ROW(BCKQHDR_06610!A11),"|",COLUMN(BCKQHDR_06610!A11),",0",",0")</f>
        <v>664687,11|1,0,0</v>
      </c>
      <c r="B11" t="str">
        <f>CONCATENATE(664540,",",ROW(BCKQHDR_06610!B11),"|",COLUMN(BCKQHDR_06610!B11),",0",",0")</f>
        <v>664540,11|2,0,0</v>
      </c>
      <c r="C11" t="str">
        <f>CONCATENATE(664782,",",ROW(BCKQHDR_06610!C11),"|",COLUMN(BCKQHDR_06610!C11),",0",",0")</f>
        <v>664782,11|3,0,0</v>
      </c>
      <c r="D11" t="str">
        <f>CONCATENATE(664518,",",ROW(BCKQHDR_06610!D11),"|",COLUMN(BCKQHDR_06610!D11),",0",",0")</f>
        <v>664518,11|4,0,0</v>
      </c>
      <c r="E11" t="str">
        <f>CONCATENATE(664492,",",ROW(BCKQHDR_06610!E11),"|",COLUMN(BCKQHDR_06610!E11),",0",",0")</f>
        <v>664492,11|5,0,0</v>
      </c>
    </row>
    <row r="12" spans="1:5" x14ac:dyDescent="0.25">
      <c r="A12" t="str">
        <f>CONCATENATE(664715,",",ROW(BCKQHDR_06610!A12),"|",COLUMN(BCKQHDR_06610!A12),",0",",0")</f>
        <v>664715,12|1,0,0</v>
      </c>
      <c r="B12" t="str">
        <f>CONCATENATE(664648,",",ROW(BCKQHDR_06610!B12),"|",COLUMN(BCKQHDR_06610!B12),",0",",0")</f>
        <v>664648,12|2,0,0</v>
      </c>
      <c r="C12" t="str">
        <f>CONCATENATE(664564,",",ROW(BCKQHDR_06610!C12),"|",COLUMN(BCKQHDR_06610!C12),",0",",0")</f>
        <v>664564,12|3,0,0</v>
      </c>
      <c r="D12" t="str">
        <f>CONCATENATE(664520,",",ROW(BCKQHDR_06610!D12),"|",COLUMN(BCKQHDR_06610!D12),",0",",0")</f>
        <v>664520,12|4,0,0</v>
      </c>
      <c r="E12" t="str">
        <f>CONCATENATE(664494,",",ROW(BCKQHDR_06610!E12),"|",COLUMN(BCKQHDR_06610!E12),",0",",0")</f>
        <v>664494,12|5,0,0</v>
      </c>
    </row>
    <row r="13" spans="1:5" x14ac:dyDescent="0.25">
      <c r="A13" t="str">
        <f>CONCATENATE(664777,",",ROW(BCKQHDR_06610!A13),"|",COLUMN(BCKQHDR_06610!A13),",0",",0")</f>
        <v>664777,13|1,0,0</v>
      </c>
      <c r="B13" t="str">
        <f>CONCATENATE(664723,",",ROW(BCKQHDR_06610!B13),"|",COLUMN(BCKQHDR_06610!B13),",0",",0")</f>
        <v>664723,13|2,0,0</v>
      </c>
      <c r="C13" t="str">
        <f>CONCATENATE(664569,",",ROW(BCKQHDR_06610!C13),"|",COLUMN(BCKQHDR_06610!C13),",0",",0")</f>
        <v>664569,13|3,0,0</v>
      </c>
      <c r="D13" t="str">
        <f>CONCATENATE(664521,",",ROW(BCKQHDR_06610!D13),"|",COLUMN(BCKQHDR_06610!D13),",0",",0")</f>
        <v>664521,13|4,0,0</v>
      </c>
      <c r="E13" t="str">
        <f>CONCATENATE(664495,",",ROW(BCKQHDR_06610!E13),"|",COLUMN(BCKQHDR_06610!E13),",0",",0")</f>
        <v>664495,13|5,0,0</v>
      </c>
    </row>
    <row r="14" spans="1:5" x14ac:dyDescent="0.25">
      <c r="A14" t="str">
        <f>CONCATENATE(664452,",",ROW(BCKQHDR_06610!A14),"|",COLUMN(BCKQHDR_06610!A14),",0",",0")</f>
        <v>664452,14|1,0,0</v>
      </c>
      <c r="B14" t="str">
        <f>CONCATENATE(664654,",",ROW(BCKQHDR_06610!B14),"|",COLUMN(BCKQHDR_06610!B14),",0",",0")</f>
        <v>664654,14|2,0,0</v>
      </c>
      <c r="C14" t="str">
        <f>CONCATENATE(664571,",",ROW(BCKQHDR_06610!C14),"|",COLUMN(BCKQHDR_06610!C14),",0",",0")</f>
        <v>664571,14|3,0,0</v>
      </c>
      <c r="D14" t="str">
        <f>CONCATENATE(664613,",",ROW(BCKQHDR_06610!D14),"|",COLUMN(BCKQHDR_06610!D14),",0",",0")</f>
        <v>664613,14|4,0,0</v>
      </c>
      <c r="E14" t="str">
        <f>CONCATENATE(664497,",",ROW(BCKQHDR_06610!E14),"|",COLUMN(BCKQHDR_06610!E14),",0",",0")</f>
        <v>664497,14|5,0,0</v>
      </c>
    </row>
    <row r="15" spans="1:5" x14ac:dyDescent="0.25">
      <c r="A15" t="str">
        <f>CONCATENATE(664688,",",ROW(BCKQHDR_06610!A15),"|",COLUMN(BCKQHDR_06610!A15),",0",",0")</f>
        <v>664688,15|1,0,0</v>
      </c>
      <c r="B15" t="str">
        <f>CONCATENATE(664455,",",ROW(BCKQHDR_06610!B15),"|",COLUMN(BCKQHDR_06610!B15),",0",",0")</f>
        <v>664455,15|2,0,0</v>
      </c>
      <c r="C15" t="str">
        <f>CONCATENATE(664572,",",ROW(BCKQHDR_06610!C15),"|",COLUMN(BCKQHDR_06610!C15),",0",",0")</f>
        <v>664572,15|3,0,0</v>
      </c>
      <c r="D15" t="str">
        <f>CONCATENATE(664614,",",ROW(BCKQHDR_06610!D15),"|",COLUMN(BCKQHDR_06610!D15),",0",",0")</f>
        <v>664614,15|4,0,0</v>
      </c>
      <c r="E15" t="str">
        <f>CONCATENATE(664498,",",ROW(BCKQHDR_06610!E15),"|",COLUMN(BCKQHDR_06610!E15),",0",",0")</f>
        <v>664498,15|5,0,0</v>
      </c>
    </row>
    <row r="16" spans="1:5" x14ac:dyDescent="0.25">
      <c r="A16" t="str">
        <f>CONCATENATE(664711,",",ROW(BCKQHDR_06610!A16),"|",COLUMN(BCKQHDR_06610!A16),",0",",0")</f>
        <v>664711,16|1,0,0</v>
      </c>
      <c r="B16" t="str">
        <f>CONCATENATE(664541,",",ROW(BCKQHDR_06610!B16),"|",COLUMN(BCKQHDR_06610!B16),",0",",0")</f>
        <v>664541,16|2,0,0</v>
      </c>
      <c r="C16" t="str">
        <f>CONCATENATE(664573,",",ROW(BCKQHDR_06610!C16),"|",COLUMN(BCKQHDR_06610!C16),",0",",0")</f>
        <v>664573,16|3,0,0</v>
      </c>
      <c r="D16" t="str">
        <f>CONCATENATE(664615,",",ROW(BCKQHDR_06610!D16),"|",COLUMN(BCKQHDR_06610!D16),",0",",0")</f>
        <v>664615,16|4,0,0</v>
      </c>
      <c r="E16" t="str">
        <f>CONCATENATE(664499,",",ROW(BCKQHDR_06610!E16),"|",COLUMN(BCKQHDR_06610!E16),",0",",0")</f>
        <v>664499,16|5,0,0</v>
      </c>
    </row>
    <row r="17" spans="1:5" x14ac:dyDescent="0.25">
      <c r="A17" t="str">
        <f>CONCATENATE(664689,",",ROW(BCKQHDR_06610!A17),"|",COLUMN(BCKQHDR_06610!A17),",0",",0")</f>
        <v>664689,17|1,0,0</v>
      </c>
      <c r="B17" t="str">
        <f>CONCATENATE(664456,",",ROW(BCKQHDR_06610!B17),"|",COLUMN(BCKQHDR_06610!B17),",0",",0")</f>
        <v>664456,17|2,0,0</v>
      </c>
      <c r="C17" t="str">
        <f>CONCATENATE(664574,",",ROW(BCKQHDR_06610!C17),"|",COLUMN(BCKQHDR_06610!C17),",0",",0")</f>
        <v>664574,17|3,0,0</v>
      </c>
      <c r="D17" t="str">
        <f>CONCATENATE(664616,",",ROW(BCKQHDR_06610!D17),"|",COLUMN(BCKQHDR_06610!D17),",0",",0")</f>
        <v>664616,17|4,0,0</v>
      </c>
      <c r="E17" t="str">
        <f>CONCATENATE(664542,",",ROW(BCKQHDR_06610!E17),"|",COLUMN(BCKQHDR_06610!E17),",0",",0")</f>
        <v>664542,17|5,0,0</v>
      </c>
    </row>
    <row r="18" spans="1:5" x14ac:dyDescent="0.25">
      <c r="A18" t="str">
        <f>CONCATENATE(664605,",",ROW(BCKQHDR_06610!A18),"|",COLUMN(BCKQHDR_06610!A18),",0",",0")</f>
        <v>664605,18|1,0,0</v>
      </c>
      <c r="B18" t="str">
        <f>CONCATENATE(664457,",",ROW(BCKQHDR_06610!B18),"|",COLUMN(BCKQHDR_06610!B18),",0",",0")</f>
        <v>664457,18|2,0,0</v>
      </c>
      <c r="C18" t="str">
        <f>CONCATENATE(664575,",",ROW(BCKQHDR_06610!C18),"|",COLUMN(BCKQHDR_06610!C18),",0",",0")</f>
        <v>664575,18|3,0,0</v>
      </c>
      <c r="D18" t="str">
        <f>CONCATENATE(664617,",",ROW(BCKQHDR_06610!D18),"|",COLUMN(BCKQHDR_06610!D18),",0",",0")</f>
        <v>664617,18|4,0,0</v>
      </c>
      <c r="E18" t="str">
        <f>CONCATENATE(664543,",",ROW(BCKQHDR_06610!E18),"|",COLUMN(BCKQHDR_06610!E18),",0",",0")</f>
        <v>664543,18|5,0,0</v>
      </c>
    </row>
    <row r="19" spans="1:5" x14ac:dyDescent="0.25">
      <c r="A19" t="str">
        <f>CONCATENATE(664606,",",ROW(BCKQHDR_06610!A19),"|",COLUMN(BCKQHDR_06610!A19),",0",",0")</f>
        <v>664606,19|1,0,0</v>
      </c>
      <c r="B19" t="str">
        <f>CONCATENATE(664649,",",ROW(BCKQHDR_06610!B19),"|",COLUMN(BCKQHDR_06610!B19),",0",",0")</f>
        <v>664649,19|2,0,0</v>
      </c>
      <c r="C19" t="str">
        <f>CONCATENATE(664576,",",ROW(BCKQHDR_06610!C19),"|",COLUMN(BCKQHDR_06610!C19),",0",",0")</f>
        <v>664576,19|3,0,0</v>
      </c>
      <c r="D19" t="str">
        <f>CONCATENATE(664523,",",ROW(BCKQHDR_06610!D19),"|",COLUMN(BCKQHDR_06610!D19),",0",",0")</f>
        <v>664523,19|4,0,0</v>
      </c>
      <c r="E19" t="str">
        <f>CONCATENATE(664544,",",ROW(BCKQHDR_06610!E19),"|",COLUMN(BCKQHDR_06610!E19),",0",",0")</f>
        <v>664544,19|5,0,0</v>
      </c>
    </row>
    <row r="20" spans="1:5" x14ac:dyDescent="0.25">
      <c r="A20" t="str">
        <f>CONCATENATE(664716,",",ROW(BCKQHDR_06610!A20),"|",COLUMN(BCKQHDR_06610!A20),",0",",0")</f>
        <v>664716,20|1,0,0</v>
      </c>
      <c r="B20" t="str">
        <f>CONCATENATE(664763,",",ROW(BCKQHDR_06610!B20),"|",COLUMN(BCKQHDR_06610!B20),",0",",0")</f>
        <v>664763,20|2,0,0</v>
      </c>
      <c r="C20" t="str">
        <f>CONCATENATE(664626,",",ROW(BCKQHDR_06610!C20),"|",COLUMN(BCKQHDR_06610!C20),",0",",0")</f>
        <v>664626,20|3,0,0</v>
      </c>
      <c r="D20" t="str">
        <f>CONCATENATE(664524,",",ROW(BCKQHDR_06610!D20),"|",COLUMN(BCKQHDR_06610!D20),",0",",0")</f>
        <v>664524,20|4,0,0</v>
      </c>
      <c r="E20" t="str">
        <f>CONCATENATE(664545,",",ROW(BCKQHDR_06610!E20),"|",COLUMN(BCKQHDR_06610!E20),",0",",0")</f>
        <v>664545,20|5,0,0</v>
      </c>
    </row>
    <row r="21" spans="1:5" x14ac:dyDescent="0.25">
      <c r="A21" t="str">
        <f>CONCATENATE(664749,",",ROW(BCKQHDR_06610!A21),"|",COLUMN(BCKQHDR_06610!A21),",0",",0")</f>
        <v>664749,21|1,0,0</v>
      </c>
      <c r="B21" t="str">
        <f>CONCATENATE(664650,",",ROW(BCKQHDR_06610!B21),"|",COLUMN(BCKQHDR_06610!B21),",0",",0")</f>
        <v>664650,21|2,0,0</v>
      </c>
      <c r="C21" t="str">
        <f>CONCATENATE(664627,",",ROW(BCKQHDR_06610!C21),"|",COLUMN(BCKQHDR_06610!C21),",0",",0")</f>
        <v>664627,21|3,0,0</v>
      </c>
      <c r="D21" t="str">
        <f>CONCATENATE(664525,",",ROW(BCKQHDR_06610!D21),"|",COLUMN(BCKQHDR_06610!D21),",0",",0")</f>
        <v>664525,21|4,0,0</v>
      </c>
      <c r="E21" t="str">
        <f>CONCATENATE(664546,",",ROW(BCKQHDR_06610!E21),"|",COLUMN(BCKQHDR_06610!E21),",0",",0")</f>
        <v>664546,21|5,0,0</v>
      </c>
    </row>
    <row r="22" spans="1:5" x14ac:dyDescent="0.25">
      <c r="A22" t="str">
        <f>CONCATENATE(664607,",",ROW(BCKQHDR_06610!A22),"|",COLUMN(BCKQHDR_06610!A22),",0",",0")</f>
        <v>664607,22|1,0,0</v>
      </c>
      <c r="B22" t="s">
        <v>5</v>
      </c>
      <c r="C22" t="str">
        <f>CONCATENATE(664628,",",ROW(BCKQHDR_06610!C22),"|",COLUMN(BCKQHDR_06610!C22),",0",",0")</f>
        <v>664628,22|3,0,0</v>
      </c>
      <c r="D22" t="str">
        <f>CONCATENATE(664526,",",ROW(BCKQHDR_06610!D22),"|",COLUMN(BCKQHDR_06610!D22),",0",",0")</f>
        <v>664526,22|4,0,0</v>
      </c>
      <c r="E22" t="str">
        <f>CONCATENATE(664547,",",ROW(BCKQHDR_06610!E22),"|",COLUMN(BCKQHDR_06610!E22),",0",",0")</f>
        <v>664547,22|5,0,0</v>
      </c>
    </row>
    <row r="23" spans="1:5" x14ac:dyDescent="0.25">
      <c r="A23" t="str">
        <f>CONCATENATE(664608,",",ROW(BCKQHDR_06610!A23),"|",COLUMN(BCKQHDR_06610!A23),",0",",0")</f>
        <v>664608,23|1,0,0</v>
      </c>
      <c r="B23" t="str">
        <f>CONCATENATE(664764,",",ROW(BCKQHDR_06610!B23),"|",COLUMN(BCKQHDR_06610!B23),",0",",0")</f>
        <v>664764,23|2,0,0</v>
      </c>
      <c r="C23" t="str">
        <f>CONCATENATE(664629,",",ROW(BCKQHDR_06610!C23),"|",COLUMN(BCKQHDR_06610!C23),",0",",0")</f>
        <v>664629,23|3,0,0</v>
      </c>
      <c r="D23" t="str">
        <f>CONCATENATE(664527,",",ROW(BCKQHDR_06610!D23),"|",COLUMN(BCKQHDR_06610!D23),",0",",0")</f>
        <v>664527,23|4,0,0</v>
      </c>
      <c r="E23" t="str">
        <f>CONCATENATE(664548,",",ROW(BCKQHDR_06610!E23),"|",COLUMN(BCKQHDR_06610!E23),",0",",0")</f>
        <v>664548,23|5,0,0</v>
      </c>
    </row>
    <row r="24" spans="1:5" x14ac:dyDescent="0.25">
      <c r="A24" t="str">
        <f>CONCATENATE(664750,",",ROW(BCKQHDR_06610!A24),"|",COLUMN(BCKQHDR_06610!A24),",0",",0")</f>
        <v>664750,24|1,0,0</v>
      </c>
      <c r="B24" t="str">
        <f>CONCATENATE(664765,",",ROW(BCKQHDR_06610!B24),"|",COLUMN(BCKQHDR_06610!B24),",0",",0")</f>
        <v>664765,24|2,0,0</v>
      </c>
      <c r="C24" t="str">
        <f>CONCATENATE(664630,",",ROW(BCKQHDR_06610!C24),"|",COLUMN(BCKQHDR_06610!C24),",0",",0")</f>
        <v>664630,24|3,0,0</v>
      </c>
      <c r="D24" t="str">
        <f>CONCATENATE(664528,",",ROW(BCKQHDR_06610!D24),"|",COLUMN(BCKQHDR_06610!D24),",0",",0")</f>
        <v>664528,24|4,0,0</v>
      </c>
      <c r="E24" t="str">
        <f>CONCATENATE(664549,",",ROW(BCKQHDR_06610!E24),"|",COLUMN(BCKQHDR_06610!E24),",0",",0")</f>
        <v>664549,24|5,0,0</v>
      </c>
    </row>
    <row r="25" spans="1:5" x14ac:dyDescent="0.25">
      <c r="A25" t="str">
        <f>CONCATENATE(664533,",",ROW(BCKQHDR_06610!A25),"|",COLUMN(BCKQHDR_06610!A25),",0",",0")</f>
        <v>664533,25|1,0,0</v>
      </c>
      <c r="B25" t="str">
        <f>CONCATENATE(664458,",",ROW(BCKQHDR_06610!B25),"|",COLUMN(BCKQHDR_06610!B25),",0",",0")</f>
        <v>664458,25|2,0,0</v>
      </c>
      <c r="C25" t="str">
        <f>CONCATENATE(664631,",",ROW(BCKQHDR_06610!C25),"|",COLUMN(BCKQHDR_06610!C25),",0",",0")</f>
        <v>664631,25|3,0,0</v>
      </c>
      <c r="D25" t="str">
        <f>CONCATENATE(664529,",",ROW(BCKQHDR_06610!D25),"|",COLUMN(BCKQHDR_06610!D25),",0",",0")</f>
        <v>664529,25|4,0,0</v>
      </c>
      <c r="E25" t="str">
        <f>CONCATENATE(664550,",",ROW(BCKQHDR_06610!E25),"|",COLUMN(BCKQHDR_06610!E25),",0",",0")</f>
        <v>664550,25|5,0,0</v>
      </c>
    </row>
    <row r="26" spans="1:5" x14ac:dyDescent="0.25">
      <c r="A26" t="str">
        <f>CONCATENATE(664717,",",ROW(BCKQHDR_06610!A26),"|",COLUMN(BCKQHDR_06610!A26),",0",",0")</f>
        <v>664717,26|1,0,0</v>
      </c>
      <c r="B26" t="str">
        <f>CONCATENATE(664459,",",ROW(BCKQHDR_06610!B26),"|",COLUMN(BCKQHDR_06610!B26),",0",",0")</f>
        <v>664459,26|2,0,0</v>
      </c>
      <c r="C26" t="str">
        <f>CONCATENATE(664632,",",ROW(BCKQHDR_06610!C26),"|",COLUMN(BCKQHDR_06610!C26),",0",",0")</f>
        <v>664632,26|3,0,0</v>
      </c>
      <c r="D26" t="str">
        <f>CONCATENATE(664530,",",ROW(BCKQHDR_06610!D26),"|",COLUMN(BCKQHDR_06610!D26),",0",",0")</f>
        <v>664530,26|4,0,0</v>
      </c>
      <c r="E26" t="str">
        <f>CONCATENATE(664551,",",ROW(BCKQHDR_06610!E26),"|",COLUMN(BCKQHDR_06610!E26),",0",",0")</f>
        <v>664551,26|5,0,0</v>
      </c>
    </row>
    <row r="27" spans="1:5" x14ac:dyDescent="0.25">
      <c r="A27" t="str">
        <f>CONCATENATE(664761,",",ROW(BCKQHDR_06610!A27),"|",COLUMN(BCKQHDR_06610!A27),",0",",0")</f>
        <v>664761,27|1,0,0</v>
      </c>
      <c r="B27" t="str">
        <f>CONCATENATE(664460,",",ROW(BCKQHDR_06610!B27),"|",COLUMN(BCKQHDR_06610!B27),",0",",0")</f>
        <v>664460,27|2,0,0</v>
      </c>
      <c r="C27" t="str">
        <f>CONCATENATE(664633,",",ROW(BCKQHDR_06610!C27),"|",COLUMN(BCKQHDR_06610!C27),",0",",0")</f>
        <v>664633,27|3,0,0</v>
      </c>
      <c r="D27" t="str">
        <f>CONCATENATE(664531,",",ROW(BCKQHDR_06610!D27),"|",COLUMN(BCKQHDR_06610!D27),",0",",0")</f>
        <v>664531,27|4,0,0</v>
      </c>
      <c r="E27" t="str">
        <f>CONCATENATE(664552,",",ROW(BCKQHDR_06610!E27),"|",COLUMN(BCKQHDR_06610!E27),",0",",0")</f>
        <v>664552,27|5,0,0</v>
      </c>
    </row>
    <row r="28" spans="1:5" x14ac:dyDescent="0.25">
      <c r="A28" t="str">
        <f>CONCATENATE(664718,",",ROW(BCKQHDR_06610!A28),"|",COLUMN(BCKQHDR_06610!A28),",0",",0")</f>
        <v>664718,28|1,0,0</v>
      </c>
      <c r="B28" t="str">
        <f>CONCATENATE(664651,",",ROW(BCKQHDR_06610!B28),"|",COLUMN(BCKQHDR_06610!B28),",0",",0")</f>
        <v>664651,28|2,0,0</v>
      </c>
      <c r="C28" t="str">
        <f>CONCATENATE(664634,",",ROW(BCKQHDR_06610!C28),"|",COLUMN(BCKQHDR_06610!C28),",0",",0")</f>
        <v>664634,28|3,0,0</v>
      </c>
      <c r="D28" t="str">
        <f>CONCATENATE(664578,",",ROW(BCKQHDR_06610!D28),"|",COLUMN(BCKQHDR_06610!D28),",0",",0")</f>
        <v>664578,28|4,0,0</v>
      </c>
      <c r="E28" t="str">
        <f>CONCATENATE(664553,",",ROW(BCKQHDR_06610!E28),"|",COLUMN(BCKQHDR_06610!E28),",0",",0")</f>
        <v>664553,28|5,0,0</v>
      </c>
    </row>
    <row r="29" spans="1:5" x14ac:dyDescent="0.25">
      <c r="A29" t="str">
        <f>CONCATENATE(664472,",",ROW(BCKQHDR_06610!A29),"|",COLUMN(BCKQHDR_06610!A29),",0",",0")</f>
        <v>664472,29|1,0,0</v>
      </c>
      <c r="B29" t="str">
        <f>CONCATENATE(664778,",",ROW(BCKQHDR_06610!B29),"|",COLUMN(BCKQHDR_06610!B29),",0",",0")</f>
        <v>664778,29|2,0,0</v>
      </c>
      <c r="C29" t="str">
        <f>CONCATENATE(664635,",",ROW(BCKQHDR_06610!C29),"|",COLUMN(BCKQHDR_06610!C29),",0",",0")</f>
        <v>664635,29|3,0,0</v>
      </c>
      <c r="D29" t="str">
        <f>CONCATENATE(664579,",",ROW(BCKQHDR_06610!D29),"|",COLUMN(BCKQHDR_06610!D29),",0",",0")</f>
        <v>664579,29|4,0,0</v>
      </c>
      <c r="E29" t="str">
        <f>CONCATENATE(664554,",",ROW(BCKQHDR_06610!E29),"|",COLUMN(BCKQHDR_06610!E29),",0",",0")</f>
        <v>664554,29|5,0,0</v>
      </c>
    </row>
    <row r="30" spans="1:5" x14ac:dyDescent="0.25">
      <c r="A30" t="str">
        <f>CONCATENATE(664774,",",ROW(BCKQHDR_06610!A30),"|",COLUMN(BCKQHDR_06610!A30),",0",",0")</f>
        <v>664774,30|1,0,0</v>
      </c>
      <c r="B30" t="str">
        <f>CONCATENATE(664779,",",ROW(BCKQHDR_06610!B30),"|",COLUMN(BCKQHDR_06610!B30),",0",",0")</f>
        <v>664779,30|2,0,0</v>
      </c>
      <c r="C30" t="str">
        <f>CONCATENATE(664636,",",ROW(BCKQHDR_06610!C30),"|",COLUMN(BCKQHDR_06610!C30),",0",",0")</f>
        <v>664636,30|3,0,0</v>
      </c>
      <c r="D30" t="str">
        <f>CONCATENATE(664580,",",ROW(BCKQHDR_06610!D30),"|",COLUMN(BCKQHDR_06610!D30),",0",",0")</f>
        <v>664580,30|4,0,0</v>
      </c>
      <c r="E30" t="str">
        <f>CONCATENATE(664556,",",ROW(BCKQHDR_06610!E30),"|",COLUMN(BCKQHDR_06610!E30),",0",",0")</f>
        <v>664556,30|5,0,0</v>
      </c>
    </row>
    <row r="31" spans="1:5" x14ac:dyDescent="0.25">
      <c r="A31" t="str">
        <f>CONCATENATE(664775,",",ROW(BCKQHDR_06610!A31),"|",COLUMN(BCKQHDR_06610!A31),",0",",0")</f>
        <v>664775,31|1,0,0</v>
      </c>
      <c r="B31" t="str">
        <f>CONCATENATE(664638,",",ROW(BCKQHDR_06610!B31),"|",COLUMN(BCKQHDR_06610!B31),",0",",0")</f>
        <v>664638,31|2,0,0</v>
      </c>
      <c r="C31" t="str">
        <f>CONCATENATE(664637,",",ROW(BCKQHDR_06610!C31),"|",COLUMN(BCKQHDR_06610!C31),",0",",0")</f>
        <v>664637,31|3,0,0</v>
      </c>
      <c r="D31" t="str">
        <f>CONCATENATE(664581,",",ROW(BCKQHDR_06610!D31),"|",COLUMN(BCKQHDR_06610!D31),",0",",0")</f>
        <v>664581,31|4,0,0</v>
      </c>
      <c r="E31" t="str">
        <f>CONCATENATE(664557,",",ROW(BCKQHDR_06610!E31),"|",COLUMN(BCKQHDR_06610!E31),",0",",0")</f>
        <v>664557,31|5,0,0</v>
      </c>
    </row>
    <row r="32" spans="1:5" x14ac:dyDescent="0.25">
      <c r="A32" t="str">
        <f>CONCATENATE(664762,",",ROW(BCKQHDR_06610!A32),"|",COLUMN(BCKQHDR_06610!A32),",0",",0")</f>
        <v>664762,32|1,0,0</v>
      </c>
      <c r="B32" t="str">
        <f>CONCATENATE(664766,",",ROW(BCKQHDR_06610!B32),"|",COLUMN(BCKQHDR_06610!B32),",0",",0")</f>
        <v>664766,32|2,0,0</v>
      </c>
      <c r="C32" t="str">
        <f>CONCATENATE(664698,",",ROW(BCKQHDR_06610!C32),"|",COLUMN(BCKQHDR_06610!C32),",0",",0")</f>
        <v>664698,32|3,0,0</v>
      </c>
      <c r="D32" t="str">
        <f>CONCATENATE(664582,",",ROW(BCKQHDR_06610!D32),"|",COLUMN(BCKQHDR_06610!D32),",0",",0")</f>
        <v>664582,32|4,0,0</v>
      </c>
      <c r="E32" t="str">
        <f>CONCATENATE(664558,",",ROW(BCKQHDR_06610!E32),"|",COLUMN(BCKQHDR_06610!E32),",0",",0")</f>
        <v>664558,32|5,0,0</v>
      </c>
    </row>
    <row r="33" spans="1:5" x14ac:dyDescent="0.25">
      <c r="A33" t="str">
        <f>CONCATENATE(664534,",",ROW(BCKQHDR_06610!A33),"|",COLUMN(BCKQHDR_06610!A33),",0",",0")</f>
        <v>664534,33|1,0,0</v>
      </c>
      <c r="B33" t="str">
        <f>CONCATENATE(664461,",",ROW(BCKQHDR_06610!B33),"|",COLUMN(BCKQHDR_06610!B33),",0",",0")</f>
        <v>664461,33|2,0,0</v>
      </c>
      <c r="C33" t="str">
        <f>CONCATENATE(664699,",",ROW(BCKQHDR_06610!C33),"|",COLUMN(BCKQHDR_06610!C33),",0",",0")</f>
        <v>664699,33|3,0,0</v>
      </c>
      <c r="D33" t="str">
        <f>CONCATENATE(664583,",",ROW(BCKQHDR_06610!D33),"|",COLUMN(BCKQHDR_06610!D33),",0",",0")</f>
        <v>664583,33|4,0,0</v>
      </c>
      <c r="E33" t="str">
        <f>CONCATENATE(664559,",",ROW(BCKQHDR_06610!E33),"|",COLUMN(BCKQHDR_06610!E33),",0",",0")</f>
        <v>664559,33|5,0,0</v>
      </c>
    </row>
    <row r="34" spans="1:5" x14ac:dyDescent="0.25">
      <c r="A34" t="str">
        <f>CONCATENATE(664609,",",ROW(BCKQHDR_06610!A34),"|",COLUMN(BCKQHDR_06610!A34),",0",",0")</f>
        <v>664609,34|1,0,0</v>
      </c>
      <c r="B34" t="str">
        <f>CONCATENATE(664462,",",ROW(BCKQHDR_06610!B34),"|",COLUMN(BCKQHDR_06610!B34),",0",",0")</f>
        <v>664462,34|2,0,0</v>
      </c>
      <c r="C34" t="str">
        <f>CONCATENATE(664700,",",ROW(BCKQHDR_06610!C34),"|",COLUMN(BCKQHDR_06610!C34),",0",",0")</f>
        <v>664700,34|3,0,0</v>
      </c>
      <c r="D34" t="str">
        <f>CONCATENATE(664584,",",ROW(BCKQHDR_06610!D34),"|",COLUMN(BCKQHDR_06610!D34),",0",",0")</f>
        <v>664584,34|4,0,0</v>
      </c>
      <c r="E34" t="str">
        <f>CONCATENATE(664560,",",ROW(BCKQHDR_06610!E34),"|",COLUMN(BCKQHDR_06610!E34),",0",",0")</f>
        <v>664560,34|5,0,0</v>
      </c>
    </row>
    <row r="35" spans="1:5" x14ac:dyDescent="0.25">
      <c r="A35" t="str">
        <f>CONCATENATE(664473,",",ROW(BCKQHDR_06610!A35),"|",COLUMN(BCKQHDR_06610!A35),",0",",0")</f>
        <v>664473,35|1,0,0</v>
      </c>
      <c r="B35" t="str">
        <f>CONCATENATE(664655,",",ROW(BCKQHDR_06610!B35),"|",COLUMN(BCKQHDR_06610!B35),",0",",0")</f>
        <v>664655,35|2,0,0</v>
      </c>
      <c r="C35" t="str">
        <f>CONCATENATE(664701,",",ROW(BCKQHDR_06610!C35),"|",COLUMN(BCKQHDR_06610!C35),",0",",0")</f>
        <v>664701,35|3,0,0</v>
      </c>
      <c r="D35" t="str">
        <f>CONCATENATE(664585,",",ROW(BCKQHDR_06610!D35),"|",COLUMN(BCKQHDR_06610!D35),",0",",0")</f>
        <v>664585,35|4,0,0</v>
      </c>
      <c r="E35" t="str">
        <f>CONCATENATE(664561,",",ROW(BCKQHDR_06610!E35),"|",COLUMN(BCKQHDR_06610!E35),",0",",0")</f>
        <v>664561,35|5,0,0</v>
      </c>
    </row>
    <row r="36" spans="1:5" x14ac:dyDescent="0.25">
      <c r="A36" t="str">
        <f>CONCATENATE(664474,",",ROW(BCKQHDR_06610!A36),"|",COLUMN(BCKQHDR_06610!A36),",0",",0")</f>
        <v>664474,36|1,0,0</v>
      </c>
      <c r="B36" t="str">
        <f>CONCATENATE(664463,",",ROW(BCKQHDR_06610!B36),"|",COLUMN(BCKQHDR_06610!B36),",0",",0")</f>
        <v>664463,36|2,0,0</v>
      </c>
      <c r="C36" t="str">
        <f>CONCATENATE(664702,",",ROW(BCKQHDR_06610!C36),"|",COLUMN(BCKQHDR_06610!C36),",0",",0")</f>
        <v>664702,36|3,0,0</v>
      </c>
      <c r="D36" t="str">
        <f>CONCATENATE(664586,",",ROW(BCKQHDR_06610!D36),"|",COLUMN(BCKQHDR_06610!D36),",0",",0")</f>
        <v>664586,36|4,0,0</v>
      </c>
      <c r="E36" t="str">
        <f>CONCATENATE(664562,",",ROW(BCKQHDR_06610!E36),"|",COLUMN(BCKQHDR_06610!E36),",0",",0")</f>
        <v>664562,36|5,0,0</v>
      </c>
    </row>
    <row r="37" spans="1:5" x14ac:dyDescent="0.25">
      <c r="A37" t="str">
        <f>CONCATENATE(664719,",",ROW(BCKQHDR_06610!A37),"|",COLUMN(BCKQHDR_06610!A37),",0",",0")</f>
        <v>664719,37|1,0,0</v>
      </c>
      <c r="B37" t="str">
        <f>CONCATENATE(664464,",",ROW(BCKQHDR_06610!B37),"|",COLUMN(BCKQHDR_06610!B37),",0",",0")</f>
        <v>664464,37|2,0,0</v>
      </c>
      <c r="C37" t="str">
        <f>CONCATENATE(664690,",",ROW(BCKQHDR_06610!C37),"|",COLUMN(BCKQHDR_06610!C37),",0",",0")</f>
        <v>664690,37|3,0,0</v>
      </c>
      <c r="D37" t="str">
        <f>CONCATENATE(664587,",",ROW(BCKQHDR_06610!D37),"|",COLUMN(BCKQHDR_06610!D37),",0",",0")</f>
        <v>664587,37|4,0,0</v>
      </c>
      <c r="E37" t="str">
        <f>CONCATENATE(664563,",",ROW(BCKQHDR_06610!E37),"|",COLUMN(BCKQHDR_06610!E37),",0",",0")</f>
        <v>664563,37|5,0,0</v>
      </c>
    </row>
    <row r="38" spans="1:5" x14ac:dyDescent="0.25">
      <c r="A38" t="str">
        <f>CONCATENATE(664621,",",ROW(BCKQHDR_06610!A38),"|",COLUMN(BCKQHDR_06610!A38),",0",",0")</f>
        <v>664621,38|1,0,0</v>
      </c>
      <c r="B38" t="str">
        <f>CONCATENATE(664656,",",ROW(BCKQHDR_06610!B38),"|",COLUMN(BCKQHDR_06610!B38),",0",",0")</f>
        <v>664656,38|2,0,0</v>
      </c>
      <c r="C38" t="str">
        <f>CONCATENATE(664751,",",ROW(BCKQHDR_06610!C38),"|",COLUMN(BCKQHDR_06610!C38),",0",",0")</f>
        <v>664751,38|3,0,0</v>
      </c>
      <c r="D38" t="str">
        <f>CONCATENATE(664588,",",ROW(BCKQHDR_06610!D38),"|",COLUMN(BCKQHDR_06610!D38),",0",",0")</f>
        <v>664588,38|4,0,0</v>
      </c>
      <c r="E38" t="str">
        <f>CONCATENATE(664691,",",ROW(BCKQHDR_06610!E38),"|",COLUMN(BCKQHDR_06610!E38),",0",",0")</f>
        <v>664691,38|5,0,0</v>
      </c>
    </row>
    <row r="39" spans="1:5" x14ac:dyDescent="0.25">
      <c r="A39" t="str">
        <f>CONCATENATE(664645,",",ROW(BCKQHDR_06610!A39),"|",COLUMN(BCKQHDR_06610!A39),",0",",0")</f>
        <v>664645,39|1,0,0</v>
      </c>
      <c r="B39" t="s">
        <v>5</v>
      </c>
      <c r="C39" t="str">
        <f>CONCATENATE(664752,",",ROW(BCKQHDR_06610!C39),"|",COLUMN(BCKQHDR_06610!C39),",0",",0")</f>
        <v>664752,39|3,0,0</v>
      </c>
      <c r="D39" t="str">
        <f>CONCATENATE(664589,",",ROW(BCKQHDR_06610!D39),"|",COLUMN(BCKQHDR_06610!D39),",0",",0")</f>
        <v>664589,39|4,0,0</v>
      </c>
      <c r="E39" t="str">
        <f>CONCATENATE(664692,",",ROW(BCKQHDR_06610!E39),"|",COLUMN(BCKQHDR_06610!E39),",0",",0")</f>
        <v>664692,39|5,0,0</v>
      </c>
    </row>
    <row r="40" spans="1:5" x14ac:dyDescent="0.25">
      <c r="A40" t="str">
        <f>CONCATENATE(664622,",",ROW(BCKQHDR_06610!A40),"|",COLUMN(BCKQHDR_06610!A40),",0",",0")</f>
        <v>664622,40|1,0,0</v>
      </c>
      <c r="B40" t="str">
        <f>CONCATENATE(664657,",",ROW(BCKQHDR_06610!B40),"|",COLUMN(BCKQHDR_06610!B40),",0",",0")</f>
        <v>664657,40|2,0,0</v>
      </c>
      <c r="C40" t="str">
        <f>CONCATENATE(664753,",",ROW(BCKQHDR_06610!C40),"|",COLUMN(BCKQHDR_06610!C40),",0",",0")</f>
        <v>664753,40|3,0,0</v>
      </c>
      <c r="D40" t="str">
        <f>CONCATENATE(664590,",",ROW(BCKQHDR_06610!D40),"|",COLUMN(BCKQHDR_06610!D40),",0",",0")</f>
        <v>664590,40|4,0,0</v>
      </c>
      <c r="E40" t="str">
        <f>CONCATENATE(664693,",",ROW(BCKQHDR_06610!E40),"|",COLUMN(BCKQHDR_06610!E40),",0",",0")</f>
        <v>664693,40|5,0,0</v>
      </c>
    </row>
    <row r="41" spans="1:5" x14ac:dyDescent="0.25">
      <c r="A41" t="str">
        <f>CONCATENATE(664623,",",ROW(BCKQHDR_06610!A41),"|",COLUMN(BCKQHDR_06610!A41),",0",",0")</f>
        <v>664623,41|1,0,0</v>
      </c>
      <c r="B41" t="str">
        <f>CONCATENATE(664639,",",ROW(BCKQHDR_06610!B41),"|",COLUMN(BCKQHDR_06610!B41),",0",",0")</f>
        <v>664639,41|2,0,0</v>
      </c>
      <c r="C41" t="str">
        <f>CONCATENATE(664754,",",ROW(BCKQHDR_06610!C41),"|",COLUMN(BCKQHDR_06610!C41),",0",",0")</f>
        <v>664754,41|3,0,0</v>
      </c>
      <c r="D41" t="str">
        <f>CONCATENATE(664591,",",ROW(BCKQHDR_06610!D41),"|",COLUMN(BCKQHDR_06610!D41),",0",",0")</f>
        <v>664591,41|4,0,0</v>
      </c>
      <c r="E41" t="str">
        <f>CONCATENATE(664694,",",ROW(BCKQHDR_06610!E41),"|",COLUMN(BCKQHDR_06610!E41),",0",",0")</f>
        <v>664694,41|5,0,0</v>
      </c>
    </row>
    <row r="42" spans="1:5" x14ac:dyDescent="0.25">
      <c r="A42" t="str">
        <f>CONCATENATE(664646,",",ROW(BCKQHDR_06610!A42),"|",COLUMN(BCKQHDR_06610!A42),",0",",0")</f>
        <v>664646,42|1,0,0</v>
      </c>
      <c r="B42" t="str">
        <f>CONCATENATE(664780,",",ROW(BCKQHDR_06610!B42),"|",COLUMN(BCKQHDR_06610!B42),",0",",0")</f>
        <v>664780,42|2,0,0</v>
      </c>
      <c r="C42" t="str">
        <f>CONCATENATE(664755,",",ROW(BCKQHDR_06610!C42),"|",COLUMN(BCKQHDR_06610!C42),",0",",0")</f>
        <v>664755,42|3,0,0</v>
      </c>
      <c r="D42" t="str">
        <f>CONCATENATE(664592,",",ROW(BCKQHDR_06610!D42),"|",COLUMN(BCKQHDR_06610!D42),",0",",0")</f>
        <v>664592,42|4,0,0</v>
      </c>
      <c r="E42" t="str">
        <f>CONCATENATE(664695,",",ROW(BCKQHDR_06610!E42),"|",COLUMN(BCKQHDR_06610!E42),",0",",0")</f>
        <v>664695,42|5,0,0</v>
      </c>
    </row>
    <row r="43" spans="1:5" x14ac:dyDescent="0.25">
      <c r="A43" t="str">
        <f>CONCATENATE(664783,",",ROW(BCKQHDR_06610!A43),"|",COLUMN(BCKQHDR_06610!A43),",0",",0")</f>
        <v>664783,43|1,0,0</v>
      </c>
      <c r="B43" t="str">
        <f>CONCATENATE(664767,",",ROW(BCKQHDR_06610!B43),"|",COLUMN(BCKQHDR_06610!B43),",0",",0")</f>
        <v>664767,43|2,0,0</v>
      </c>
      <c r="C43" t="str">
        <f>CONCATENATE(664756,",",ROW(BCKQHDR_06610!C43),"|",COLUMN(BCKQHDR_06610!C43),",0",",0")</f>
        <v>664756,43|3,0,0</v>
      </c>
      <c r="D43" t="str">
        <f>CONCATENATE(664593,",",ROW(BCKQHDR_06610!D43),"|",COLUMN(BCKQHDR_06610!D43),",0",",0")</f>
        <v>664593,43|4,0,0</v>
      </c>
      <c r="E43" t="str">
        <f>CONCATENATE(664696,",",ROW(BCKQHDR_06610!E43),"|",COLUMN(BCKQHDR_06610!E43),",0",",0")</f>
        <v>664696,43|5,0,0</v>
      </c>
    </row>
    <row r="44" spans="1:5" x14ac:dyDescent="0.25">
      <c r="A44" t="str">
        <f>CONCATENATE(664624,",",ROW(BCKQHDR_06610!A44),"|",COLUMN(BCKQHDR_06610!A44),",0",",0")</f>
        <v>664624,44|1,0,0</v>
      </c>
      <c r="B44" t="str">
        <f>CONCATENATE(664658,",",ROW(BCKQHDR_06610!B44),"|",COLUMN(BCKQHDR_06610!B44),",0",",0")</f>
        <v>664658,44|2,0,0</v>
      </c>
      <c r="C44" t="str">
        <f>CONCATENATE(664757,",",ROW(BCKQHDR_06610!C44),"|",COLUMN(BCKQHDR_06610!C44),",0",",0")</f>
        <v>664757,44|3,0,0</v>
      </c>
      <c r="D44" t="str">
        <f>CONCATENATE(664594,",",ROW(BCKQHDR_06610!D44),"|",COLUMN(BCKQHDR_06610!D44),",0",",0")</f>
        <v>664594,44|4,0,0</v>
      </c>
      <c r="E44" t="str">
        <f>CONCATENATE(664787,",",ROW(BCKQHDR_06610!E44),"|",COLUMN(BCKQHDR_06610!E44),",0",",0")</f>
        <v>664787,44|5,0,0</v>
      </c>
    </row>
    <row r="45" spans="1:5" x14ac:dyDescent="0.25">
      <c r="A45" t="str">
        <f>CONCATENATE(664784,",",ROW(BCKQHDR_06610!A45),"|",COLUMN(BCKQHDR_06610!A45),",0",",0")</f>
        <v>664784,45|1,0,0</v>
      </c>
      <c r="B45" t="s">
        <v>5</v>
      </c>
      <c r="C45" t="str">
        <f>CONCATENATE(664758,",",ROW(BCKQHDR_06610!C45),"|",COLUMN(BCKQHDR_06610!C45),",0",",0")</f>
        <v>664758,45|3,0,0</v>
      </c>
      <c r="D45" t="str">
        <f>CONCATENATE(664595,",",ROW(BCKQHDR_06610!D45),"|",COLUMN(BCKQHDR_06610!D45),",0",",0")</f>
        <v>664595,45|4,0,0</v>
      </c>
      <c r="E45" t="str">
        <f>CONCATENATE(664476,",",ROW(BCKQHDR_06610!E45),"|",COLUMN(BCKQHDR_06610!E45),",0",",0")</f>
        <v>664476,45|5,0,0</v>
      </c>
    </row>
    <row r="46" spans="1:5" x14ac:dyDescent="0.25">
      <c r="A46" t="str">
        <f>CONCATENATE(664697,",",ROW(BCKQHDR_06610!A46),"|",COLUMN(BCKQHDR_06610!A46),",0",",0")</f>
        <v>664697,46|1,0,0</v>
      </c>
      <c r="B46" t="str">
        <f>CONCATENATE(664768,",",ROW(BCKQHDR_06610!B46),"|",COLUMN(BCKQHDR_06610!B46),",0",",0")</f>
        <v>664768,46|2,0,0</v>
      </c>
      <c r="C46" t="str">
        <f>CONCATENATE(664759,",",ROW(BCKQHDR_06610!C46),"|",COLUMN(BCKQHDR_06610!C46),",0",",0")</f>
        <v>664759,46|3,0,0</v>
      </c>
      <c r="D46" t="str">
        <f>CONCATENATE(664596,",",ROW(BCKQHDR_06610!D46),"|",COLUMN(BCKQHDR_06610!D46),",0",",0")</f>
        <v>664596,46|4,0,0</v>
      </c>
      <c r="E46" t="str">
        <f>CONCATENATE(664725,",",ROW(BCKQHDR_06610!E46),"|",COLUMN(BCKQHDR_06610!E46),",0",",0")</f>
        <v>664725,46|5,0,0</v>
      </c>
    </row>
    <row r="47" spans="1:5" x14ac:dyDescent="0.25">
      <c r="A47" t="str">
        <f>CONCATENATE(664597,",",ROW(BCKQHDR_06610!A47),"|",COLUMN(BCKQHDR_06610!A47),",0",",0")</f>
        <v>664597,47|1,0,0</v>
      </c>
      <c r="B47" t="str">
        <f>CONCATENATE(664659,",",ROW(BCKQHDR_06610!B47),"|",COLUMN(BCKQHDR_06610!B47),",0",",0")</f>
        <v>664659,47|2,0,0</v>
      </c>
      <c r="C47" t="str">
        <f>CONCATENATE(664760,",",ROW(BCKQHDR_06610!C47),"|",COLUMN(BCKQHDR_06610!C47),",0",",0")</f>
        <v>664760,47|3,0,0</v>
      </c>
      <c r="D47" t="str">
        <f>CONCATENATE(664565,",",ROW(BCKQHDR_06610!D47),"|",COLUMN(BCKQHDR_06610!D47),",0",",0")</f>
        <v>664565,47|4,0,0</v>
      </c>
      <c r="E47" t="str">
        <f>CONCATENATE(664726,",",ROW(BCKQHDR_06610!E47),"|",COLUMN(BCKQHDR_06610!E47),",0",",0")</f>
        <v>664726,47|5,0,0</v>
      </c>
    </row>
    <row r="48" spans="1:5" x14ac:dyDescent="0.25">
      <c r="A48" t="str">
        <f>CONCATENATE(664535,",",ROW(BCKQHDR_06610!A48),"|",COLUMN(BCKQHDR_06610!A48),",0",",0")</f>
        <v>664535,48|1,0,0</v>
      </c>
      <c r="B48" t="str">
        <f>CONCATENATE(664660,",",ROW(BCKQHDR_06610!B48),"|",COLUMN(BCKQHDR_06610!B48),",0",",0")</f>
        <v>664660,48|2,0,0</v>
      </c>
      <c r="C48" t="str">
        <f>CONCATENATE(664567,",",ROW(BCKQHDR_06610!C48),"|",COLUMN(BCKQHDR_06610!C48),",0",",0")</f>
        <v>664567,48|3,0,0</v>
      </c>
      <c r="D48" t="str">
        <f>CONCATENATE(664728,",",ROW(BCKQHDR_06610!D48),"|",COLUMN(BCKQHDR_06610!D48),",0",",0")</f>
        <v>664728,48|4,0,0</v>
      </c>
      <c r="E48" t="str">
        <f>CONCATENATE(664741,",",ROW(BCKQHDR_06610!E48),"|",COLUMN(BCKQHDR_06610!E48),",0",",0")</f>
        <v>664741,48|5,0,0</v>
      </c>
    </row>
    <row r="49" spans="1:5" x14ac:dyDescent="0.25">
      <c r="A49" t="str">
        <f>CONCATENATE(664785,",",ROW(BCKQHDR_06610!A49),"|",COLUMN(BCKQHDR_06610!A49),",0",",0")</f>
        <v>664785,49|1,0,0</v>
      </c>
      <c r="B49" t="str">
        <f>CONCATENATE(664642,",",ROW(BCKQHDR_06610!B49),"|",COLUMN(BCKQHDR_06610!B49),",0",",0")</f>
        <v>664642,49|2,0,0</v>
      </c>
      <c r="C49" t="str">
        <f>CONCATENATE(664568,",",ROW(BCKQHDR_06610!C49),"|",COLUMN(BCKQHDR_06610!C49),",0",",0")</f>
        <v>664568,49|3,0,0</v>
      </c>
      <c r="D49" t="str">
        <f>CONCATENATE(664729,",",ROW(BCKQHDR_06610!D49),"|",COLUMN(BCKQHDR_06610!D49),",0",",0")</f>
        <v>664729,49|4,0,0</v>
      </c>
      <c r="E49" t="str">
        <f>CONCATENATE(664742,",",ROW(BCKQHDR_06610!E49),"|",COLUMN(BCKQHDR_06610!E49),",0",",0")</f>
        <v>664742,49|5,0,0</v>
      </c>
    </row>
    <row r="50" spans="1:5" x14ac:dyDescent="0.25">
      <c r="A50" t="str">
        <f>CONCATENATE(664598,",",ROW(BCKQHDR_06610!A50),"|",COLUMN(BCKQHDR_06610!A50),",0",",0")</f>
        <v>664598,50|1,0,0</v>
      </c>
      <c r="B50" t="str">
        <f>CONCATENATE(664640,",",ROW(BCKQHDR_06610!B50),"|",COLUMN(BCKQHDR_06610!B50),",0",",0")</f>
        <v>664640,50|2,0,0</v>
      </c>
      <c r="C50" t="str">
        <f>CONCATENATE(664477,",",ROW(BCKQHDR_06610!C50),"|",COLUMN(BCKQHDR_06610!C50),",0",",0")</f>
        <v>664477,50|3,0,0</v>
      </c>
      <c r="D50" t="str">
        <f>CONCATENATE(664730,",",ROW(BCKQHDR_06610!D50),"|",COLUMN(BCKQHDR_06610!D50),",0",",0")</f>
        <v>664730,50|4,0,0</v>
      </c>
      <c r="E50" t="str">
        <f>CONCATENATE(664743,",",ROW(BCKQHDR_06610!E50),"|",COLUMN(BCKQHDR_06610!E50),",0",",0")</f>
        <v>664743,50|5,0,0</v>
      </c>
    </row>
    <row r="51" spans="1:5" x14ac:dyDescent="0.25">
      <c r="A51" t="str">
        <f>CONCATENATE(664536,",",ROW(BCKQHDR_06610!A51),"|",COLUMN(BCKQHDR_06610!A51),",0",",0")</f>
        <v>664536,51|1,0,0</v>
      </c>
      <c r="B51" t="str">
        <f>CONCATENATE(664641,",",ROW(BCKQHDR_06610!B51),"|",COLUMN(BCKQHDR_06610!B51),",0",",0")</f>
        <v>664641,51|2,0,0</v>
      </c>
      <c r="C51" t="str">
        <f>CONCATENATE(664662,",",ROW(BCKQHDR_06610!C51),"|",COLUMN(BCKQHDR_06610!C51),",0",",0")</f>
        <v>664662,51|3,0,0</v>
      </c>
      <c r="D51" t="str">
        <f>CONCATENATE(664731,",",ROW(BCKQHDR_06610!D51),"|",COLUMN(BCKQHDR_06610!D51),",0",",0")</f>
        <v>664731,51|4,0,0</v>
      </c>
      <c r="E51" t="str">
        <f>CONCATENATE(664744,",",ROW(BCKQHDR_06610!E51),"|",COLUMN(BCKQHDR_06610!E51),",0",",0")</f>
        <v>664744,51|5,0,0</v>
      </c>
    </row>
    <row r="52" spans="1:5" x14ac:dyDescent="0.25">
      <c r="A52" t="str">
        <f>CONCATENATE(664599,",",ROW(BCKQHDR_06610!A52),"|",COLUMN(BCKQHDR_06610!A52),",0",",0")</f>
        <v>664599,52|1,0,0</v>
      </c>
      <c r="B52" t="str">
        <f>CONCATENATE(664465,",",ROW(BCKQHDR_06610!B52),"|",COLUMN(BCKQHDR_06610!B52),",0",",0")</f>
        <v>664465,52|2,0,0</v>
      </c>
      <c r="C52" t="str">
        <f>CONCATENATE(664663,",",ROW(BCKQHDR_06610!C52),"|",COLUMN(BCKQHDR_06610!C52),",0",",0")</f>
        <v>664663,52|3,0,0</v>
      </c>
      <c r="D52" t="str">
        <f>CONCATENATE(664732,",",ROW(BCKQHDR_06610!D52),"|",COLUMN(BCKQHDR_06610!D52),",0",",0")</f>
        <v>664732,52|4,0,0</v>
      </c>
      <c r="E52" t="str">
        <f>CONCATENATE(664772,",",ROW(BCKQHDR_06610!E52),"|",COLUMN(BCKQHDR_06610!E52),",0",",0")</f>
        <v>664772,52|5,0,0</v>
      </c>
    </row>
    <row r="53" spans="1:5" x14ac:dyDescent="0.25">
      <c r="A53" t="str">
        <f>CONCATENATE(664707,",",ROW(BCKQHDR_06610!A53),"|",COLUMN(BCKQHDR_06610!A53),",0",",0")</f>
        <v>664707,53|1,0,0</v>
      </c>
      <c r="B53" t="str">
        <f>CONCATENATE(664769,",",ROW(BCKQHDR_06610!B53),"|",COLUMN(BCKQHDR_06610!B53),",0",",0")</f>
        <v>664769,53|2,0,0</v>
      </c>
      <c r="C53" t="str">
        <f>CONCATENATE(664664,",",ROW(BCKQHDR_06610!C53),"|",COLUMN(BCKQHDR_06610!C53),",0",",0")</f>
        <v>664664,53|3,0,0</v>
      </c>
      <c r="D53" t="str">
        <f>CONCATENATE(664733,",",ROW(BCKQHDR_06610!D53),"|",COLUMN(BCKQHDR_06610!D53),",0",",0")</f>
        <v>664733,53|4,0,0</v>
      </c>
      <c r="E53" t="str">
        <f>CONCATENATE(664745,",",ROW(BCKQHDR_06610!E53),"|",COLUMN(BCKQHDR_06610!E53),",0",",0")</f>
        <v>664745,53|5,0,0</v>
      </c>
    </row>
    <row r="54" spans="1:5" x14ac:dyDescent="0.25">
      <c r="A54" t="str">
        <f>CONCATENATE(664736,",",ROW(BCKQHDR_06610!A54),"|",COLUMN(BCKQHDR_06610!A54),",0",",0")</f>
        <v>664736,54|1,0,0</v>
      </c>
      <c r="B54" t="str">
        <f>CONCATENATE(664703,",",ROW(BCKQHDR_06610!B54),"|",COLUMN(BCKQHDR_06610!B54),",0",",0")</f>
        <v>664703,54|2,0,0</v>
      </c>
      <c r="C54" t="str">
        <f>CONCATENATE(664665,",",ROW(BCKQHDR_06610!C54),"|",COLUMN(BCKQHDR_06610!C54),",0",",0")</f>
        <v>664665,54|3,0,0</v>
      </c>
      <c r="D54" t="str">
        <f>CONCATENATE(664734,",",ROW(BCKQHDR_06610!D54),"|",COLUMN(BCKQHDR_06610!D54),",0",",0")</f>
        <v>664734,54|4,0,0</v>
      </c>
      <c r="E54" t="str">
        <f>CONCATENATE(664746,",",ROW(BCKQHDR_06610!E54),"|",COLUMN(BCKQHDR_06610!E54),",0",",0")</f>
        <v>664746,54|5,0,0</v>
      </c>
    </row>
    <row r="55" spans="1:5" x14ac:dyDescent="0.25">
      <c r="A55" t="str">
        <f>CONCATENATE(664708,",",ROW(BCKQHDR_06610!A55),"|",COLUMN(BCKQHDR_06610!A55),",0",",0")</f>
        <v>664708,55|1,0,0</v>
      </c>
      <c r="B55" t="s">
        <v>5</v>
      </c>
      <c r="C55" t="str">
        <f>CONCATENATE(664666,",",ROW(BCKQHDR_06610!C55),"|",COLUMN(BCKQHDR_06610!C55),",0",",0")</f>
        <v>664666,55|3,0,0</v>
      </c>
      <c r="D55" t="str">
        <f>CONCATENATE(664735,",",ROW(BCKQHDR_06610!D55),"|",COLUMN(BCKQHDR_06610!D55),",0",",0")</f>
        <v>664735,55|4,0,0</v>
      </c>
      <c r="E55" t="str">
        <f>CONCATENATE(664747,",",ROW(BCKQHDR_06610!E55),"|",COLUMN(BCKQHDR_06610!E55),",0",",0")</f>
        <v>664747,55|5,0,0</v>
      </c>
    </row>
    <row r="56" spans="1:5" x14ac:dyDescent="0.25">
      <c r="A56" t="str">
        <f>CONCATENATE(664625,",",ROW(BCKQHDR_06610!A56),"|",COLUMN(BCKQHDR_06610!A56),",0",",0")</f>
        <v>664625,56|1,0,0</v>
      </c>
      <c r="B56" t="str">
        <f>CONCATENATE(664704,",",ROW(BCKQHDR_06610!B56),"|",COLUMN(BCKQHDR_06610!B56),",0",",0")</f>
        <v>664704,56|2,0,0</v>
      </c>
      <c r="C56" t="str">
        <f>CONCATENATE(664667,",",ROW(BCKQHDR_06610!C56),"|",COLUMN(BCKQHDR_06610!C56),",0",",0")</f>
        <v>664667,56|3,0,0</v>
      </c>
      <c r="D56" t="str">
        <f>CONCATENATE(664737,",",ROW(BCKQHDR_06610!D56),"|",COLUMN(BCKQHDR_06610!D56),",0",",0")</f>
        <v>664737,56|4,0,0</v>
      </c>
      <c r="E56" t="str">
        <f>CONCATENATE(664748,",",ROW(BCKQHDR_06610!E56),"|",COLUMN(BCKQHDR_06610!E56),",0",",0")</f>
        <v>664748,56|5,0,0</v>
      </c>
    </row>
    <row r="57" spans="1:5" x14ac:dyDescent="0.25">
      <c r="A57" t="str">
        <f>CONCATENATE(664709,",",ROW(BCKQHDR_06610!A57),"|",COLUMN(BCKQHDR_06610!A57),",0",",0")</f>
        <v>664709,57|1,0,0</v>
      </c>
      <c r="B57" t="str">
        <f>CONCATENATE(664661,",",ROW(BCKQHDR_06610!B57),"|",COLUMN(BCKQHDR_06610!B57),",0",",0")</f>
        <v>664661,57|2,0,0</v>
      </c>
      <c r="C57" t="str">
        <f>CONCATENATE(664668,",",ROW(BCKQHDR_06610!C57),"|",COLUMN(BCKQHDR_06610!C57),",0",",0")</f>
        <v>664668,57|3,0,0</v>
      </c>
      <c r="D57" t="str">
        <f>CONCATENATE(664738,",",ROW(BCKQHDR_06610!D57),"|",COLUMN(BCKQHDR_06610!D57),",0",",0")</f>
        <v>664738,57|4,0,0</v>
      </c>
      <c r="E57" t="str">
        <f>CONCATENATE(664478,",",ROW(BCKQHDR_06610!E57),"|",COLUMN(BCKQHDR_06610!E57),",0",",0")</f>
        <v>664478,57|5,0,0</v>
      </c>
    </row>
    <row r="58" spans="1:5" x14ac:dyDescent="0.25">
      <c r="A58" t="str">
        <f>CONCATENATE(664577,",",ROW(BCKQHDR_06610!A58),"|",COLUMN(BCKQHDR_06610!A58),",0",",0")</f>
        <v>664577,58|1,0,0</v>
      </c>
      <c r="B58" t="str">
        <f>CONCATENATE(664789,",",ROW(BCKQHDR_06610!B58),"|",COLUMN(BCKQHDR_06610!B58),",0",",0")</f>
        <v>664789,58|2,0,0</v>
      </c>
      <c r="C58" t="str">
        <f>CONCATENATE(664669,",",ROW(BCKQHDR_06610!C58),"|",COLUMN(BCKQHDR_06610!C58),",0",",0")</f>
        <v>664669,58|3,0,0</v>
      </c>
      <c r="D58" t="str">
        <f>CONCATENATE(664739,",",ROW(BCKQHDR_06610!D58),"|",COLUMN(BCKQHDR_06610!D58),",0",",0")</f>
        <v>664739,58|4,0,0</v>
      </c>
      <c r="E58" t="str">
        <f>CONCATENATE(664479,",",ROW(BCKQHDR_06610!E58),"|",COLUMN(BCKQHDR_06610!E58),",0",",0")</f>
        <v>664479,58|5,0,0</v>
      </c>
    </row>
    <row r="59" spans="1:5" x14ac:dyDescent="0.25">
      <c r="A59" t="str">
        <f>CONCATENATE(664532,",",ROW(BCKQHDR_06610!A59),"|",COLUMN(BCKQHDR_06610!A59),",0",",0")</f>
        <v>664532,59|1,0,0</v>
      </c>
      <c r="B59" t="str">
        <f>CONCATENATE(664790,",",ROW(BCKQHDR_06610!B59),"|",COLUMN(BCKQHDR_06610!B59),",0",",0")</f>
        <v>664790,59|2,0,0</v>
      </c>
      <c r="C59" t="str">
        <f>CONCATENATE(664670,",",ROW(BCKQHDR_06610!C59),"|",COLUMN(BCKQHDR_06610!C59),",0",",0")</f>
        <v>664670,59|3,0,0</v>
      </c>
      <c r="D59" t="str">
        <f>CONCATENATE(664500,",",ROW(BCKQHDR_06610!D59),"|",COLUMN(BCKQHDR_06610!D59),",0",",0")</f>
        <v>664500,59|4,0,0</v>
      </c>
      <c r="E59" t="str">
        <f>CONCATENATE(664480,",",ROW(BCKQHDR_06610!E59),"|",COLUMN(BCKQHDR_06610!E59),",0",",0")</f>
        <v>664480,59|5,0,0</v>
      </c>
    </row>
    <row r="60" spans="1:5" x14ac:dyDescent="0.25">
      <c r="A60" t="str">
        <f>CONCATENATE(664673,",",ROW(BCKQHDR_06610!A60),"|",COLUMN(BCKQHDR_06610!A60),",0",",0")</f>
        <v>664673,60|1,0,0</v>
      </c>
      <c r="B60" t="str">
        <f>CONCATENATE(664466,",",ROW(BCKQHDR_06610!B60),"|",COLUMN(BCKQHDR_06610!B60),",0",",0")</f>
        <v>664466,60|2,0,0</v>
      </c>
      <c r="C60" t="str">
        <f>CONCATENATE(664671,",",ROW(BCKQHDR_06610!C60),"|",COLUMN(BCKQHDR_06610!C60),",0",",0")</f>
        <v>664671,60|3,0,0</v>
      </c>
      <c r="D60" t="str">
        <f>CONCATENATE(664501,",",ROW(BCKQHDR_06610!D60),"|",COLUMN(BCKQHDR_06610!D60),",0",",0")</f>
        <v>664501,60|4,0,0</v>
      </c>
      <c r="E60" t="str">
        <f>CONCATENATE(664481,",",ROW(BCKQHDR_06610!E60),"|",COLUMN(BCKQHDR_06610!E60),",0",",0")</f>
        <v>664481,60|5,0,0</v>
      </c>
    </row>
    <row r="61" spans="1:5" x14ac:dyDescent="0.25">
      <c r="A61" t="str">
        <f>CONCATENATE(664537,",",ROW(BCKQHDR_06610!A61),"|",COLUMN(BCKQHDR_06610!A61),",0",",0")</f>
        <v>664537,61|1,0,0</v>
      </c>
      <c r="B61" t="str">
        <f>CONCATENATE(664643,",",ROW(BCKQHDR_06610!B61),"|",COLUMN(BCKQHDR_06610!B61),",0",",0")</f>
        <v>664643,61|2,0,0</v>
      </c>
      <c r="C61" t="str">
        <f>CONCATENATE(664672,",",ROW(BCKQHDR_06610!C61),"|",COLUMN(BCKQHDR_06610!C61),",0",",0")</f>
        <v>664672,61|3,0,0</v>
      </c>
      <c r="D61" t="str">
        <f>CONCATENATE(664504,",",ROW(BCKQHDR_06610!D61),"|",COLUMN(BCKQHDR_06610!D61),",0",",0")</f>
        <v>664504,61|4,0,0</v>
      </c>
      <c r="E61" t="str">
        <f>CONCATENATE(664482,",",ROW(BCKQHDR_06610!E61),"|",COLUMN(BCKQHDR_06610!E61),",0",",0")</f>
        <v>664482,61|5,0,0</v>
      </c>
    </row>
    <row r="62" spans="1:5" x14ac:dyDescent="0.25">
      <c r="A62" t="str">
        <f>CONCATENATE(664652,",",ROW(BCKQHDR_06610!A62),"|",COLUMN(BCKQHDR_06610!A62),",0",",0")</f>
        <v>664652,62|1,0,0</v>
      </c>
      <c r="B62" t="str">
        <f>CONCATENATE(664770,",",ROW(BCKQHDR_06610!B62),"|",COLUMN(BCKQHDR_06610!B62),",0",",0")</f>
        <v>664770,62|2,0,0</v>
      </c>
      <c r="C62" t="str">
        <f>CONCATENATE(664674,",",ROW(BCKQHDR_06610!C62),"|",COLUMN(BCKQHDR_06610!C62),",0",",0")</f>
        <v>664674,62|3,0,0</v>
      </c>
      <c r="D62" t="str">
        <f>CONCATENATE(664505,",",ROW(BCKQHDR_06610!D62),"|",COLUMN(BCKQHDR_06610!D62),",0",",0")</f>
        <v>664505,62|4,0,0</v>
      </c>
      <c r="E62" t="str">
        <f>CONCATENATE(664483,",",ROW(BCKQHDR_06610!E62),"|",COLUMN(BCKQHDR_06610!E62),",0",",0")</f>
        <v>664483,62|5,0,0</v>
      </c>
    </row>
    <row r="63" spans="1:5" x14ac:dyDescent="0.25">
      <c r="A63" t="str">
        <f>CONCATENATE(664600,",",ROW(BCKQHDR_06610!A63),"|",COLUMN(BCKQHDR_06610!A63),",0",",0")</f>
        <v>664600,63|1,0,0</v>
      </c>
      <c r="B63" t="str">
        <f>CONCATENATE(664467,",",ROW(BCKQHDR_06610!B63),"|",COLUMN(BCKQHDR_06610!B63),",0",",0")</f>
        <v>664467,63|2,0,0</v>
      </c>
      <c r="C63" t="str">
        <f>CONCATENATE(664675,",",ROW(BCKQHDR_06610!C63),"|",COLUMN(BCKQHDR_06610!C63),",0",",0")</f>
        <v>664675,63|3,0,0</v>
      </c>
      <c r="D63" t="str">
        <f>CONCATENATE(664502,",",ROW(BCKQHDR_06610!D63),"|",COLUMN(BCKQHDR_06610!D63),",0",",0")</f>
        <v>664502,63|4,0,0</v>
      </c>
      <c r="E63" t="str">
        <f>CONCATENATE(664610,",",ROW(BCKQHDR_06610!E63),"|",COLUMN(BCKQHDR_06610!E63),",0",",0")</f>
        <v>664610,63|5,0,0</v>
      </c>
    </row>
    <row r="64" spans="1:5" x14ac:dyDescent="0.25">
      <c r="A64" t="str">
        <f>CONCATENATE(664710,",",ROW(BCKQHDR_06610!A64),"|",COLUMN(BCKQHDR_06610!A64),",0",",0")</f>
        <v>664710,64|1,0,0</v>
      </c>
      <c r="B64" t="str">
        <f>CONCATENATE(664705,",",ROW(BCKQHDR_06610!B64),"|",COLUMN(BCKQHDR_06610!B64),",0",",0")</f>
        <v>664705,64|2,0,0</v>
      </c>
      <c r="C64" t="str">
        <f>CONCATENATE(664676,",",ROW(BCKQHDR_06610!C64),"|",COLUMN(BCKQHDR_06610!C64),",0",",0")</f>
        <v>664676,64|3,0,0</v>
      </c>
      <c r="D64" t="str">
        <f>CONCATENATE(664503,",",ROW(BCKQHDR_06610!D64),"|",COLUMN(BCKQHDR_06610!D64),",0",",0")</f>
        <v>664503,64|4,0,0</v>
      </c>
      <c r="E64" t="str">
        <f>CONCATENATE(664611,",",ROW(BCKQHDR_06610!E64),"|",COLUMN(BCKQHDR_06610!E64),",0",",0")</f>
        <v>664611,64|5,0,0</v>
      </c>
    </row>
    <row r="65" spans="1:5" x14ac:dyDescent="0.25">
      <c r="A65" t="str">
        <f>CONCATENATE(664712,",",ROW(BCKQHDR_06610!A65),"|",COLUMN(BCKQHDR_06610!A65),",0",",0")</f>
        <v>664712,65|1,0,0</v>
      </c>
      <c r="B65" t="str">
        <f>CONCATENATE(664771,",",ROW(BCKQHDR_06610!B65),"|",COLUMN(BCKQHDR_06610!B65),",0",",0")</f>
        <v>664771,65|2,0,0</v>
      </c>
      <c r="C65" t="str">
        <f>CONCATENATE(664677,",",ROW(BCKQHDR_06610!C65),"|",COLUMN(BCKQHDR_06610!C65),",0",",0")</f>
        <v>664677,65|3,0,0</v>
      </c>
      <c r="D65" t="str">
        <f>CONCATENATE(664508,",",ROW(BCKQHDR_06610!D65),"|",COLUMN(BCKQHDR_06610!D65),",0",",0")</f>
        <v>664508,65|4,0,0</v>
      </c>
      <c r="E65" t="str">
        <f>CONCATENATE(664612,",",ROW(BCKQHDR_06610!E65),"|",COLUMN(BCKQHDR_06610!E65),",0",",0")</f>
        <v>664612,65|5,0,0</v>
      </c>
    </row>
    <row r="66" spans="1:5" x14ac:dyDescent="0.25">
      <c r="A66" t="str">
        <f>CONCATENATE(664601,",",ROW(BCKQHDR_06610!A66),"|",COLUMN(BCKQHDR_06610!A66),",0",",0")</f>
        <v>664601,66|1,0,0</v>
      </c>
      <c r="B66" t="str">
        <f>CONCATENATE(664791,",",ROW(BCKQHDR_06610!B66),"|",COLUMN(BCKQHDR_06610!B66),",0",",0")</f>
        <v>664791,66|2,0,0</v>
      </c>
      <c r="C66" t="str">
        <f>CONCATENATE(664678,",",ROW(BCKQHDR_06610!C66),"|",COLUMN(BCKQHDR_06610!C66),",0",",0")</f>
        <v>664678,66|3,0,0</v>
      </c>
      <c r="D66" t="str">
        <f>CONCATENATE(664506,",",ROW(BCKQHDR_06610!D66),"|",COLUMN(BCKQHDR_06610!D66),",0",",0")</f>
        <v>664506,66|4,0,0</v>
      </c>
      <c r="E66" t="str">
        <f>CONCATENATE(664788,",",ROW(BCKQHDR_06610!E66),"|",COLUMN(BCKQHDR_06610!E66),",0",",0")</f>
        <v>664788,66|5,0,0</v>
      </c>
    </row>
    <row r="67" spans="1:5" x14ac:dyDescent="0.25">
      <c r="A67" t="str">
        <f>CONCATENATE(664713,",",ROW(BCKQHDR_06610!A67),"|",COLUMN(BCKQHDR_06610!A67),",0",",0")</f>
        <v>664713,67|1,0,0</v>
      </c>
      <c r="B67" t="str">
        <f>CONCATENATE(664468,",",ROW(BCKQHDR_06610!B67),"|",COLUMN(BCKQHDR_06610!B67),",0",",0")</f>
        <v>664468,67|2,0,0</v>
      </c>
      <c r="C67" t="str">
        <f>CONCATENATE(664679,",",ROW(BCKQHDR_06610!C67),"|",COLUMN(BCKQHDR_06610!C67),",0",",0")</f>
        <v>664679,67|3,0,0</v>
      </c>
      <c r="D67" t="str">
        <f>CONCATENATE(664507,",",ROW(BCKQHDR_06610!D67),"|",COLUMN(BCKQHDR_06610!D67),",0",",0")</f>
        <v>664507,67|4,0,0</v>
      </c>
      <c r="E67" t="str">
        <f>CONCATENATE(664706,",",ROW(BCKQHDR_06610!E67),"|",COLUMN(BCKQHDR_06610!E67),",0",",0")</f>
        <v>664706,67|5,0,0</v>
      </c>
    </row>
    <row r="68" spans="1:5" x14ac:dyDescent="0.25">
      <c r="A68" t="str">
        <f>CONCATENATE(664776,",",ROW(BCKQHDR_06610!A68),"|",COLUMN(BCKQHDR_06610!A68),",0",",0")</f>
        <v>664776,68|1,0,0</v>
      </c>
      <c r="B68" t="str">
        <f>CONCATENATE(664644,",",ROW(BCKQHDR_06610!B68),"|",COLUMN(BCKQHDR_06610!B68),",0",",0")</f>
        <v>664644,68|2,0,0</v>
      </c>
      <c r="C68" t="str">
        <f>CONCATENATE(664680,",",ROW(BCKQHDR_06610!C68),"|",COLUMN(BCKQHDR_06610!C68),",0",",0")</f>
        <v>664680,68|3,0,0</v>
      </c>
      <c r="D68" t="str">
        <f>CONCATENATE(664509,",",ROW(BCKQHDR_06610!D68),"|",COLUMN(BCKQHDR_06610!D68),",0",",0")</f>
        <v>664509,68|4,0,0</v>
      </c>
      <c r="E68" t="str">
        <f>CONCATENATE(664555,",",ROW(BCKQHDR_06610!E68),"|",COLUMN(BCKQHDR_06610!E68),",0",",0")</f>
        <v>664555,68|5,0,0</v>
      </c>
    </row>
    <row r="69" spans="1:5" x14ac:dyDescent="0.25">
      <c r="A69" t="str">
        <f>CONCATENATE(664538,",",ROW(BCKQHDR_06610!A69),"|",COLUMN(BCKQHDR_06610!A69),",0",",0")</f>
        <v>664538,69|1,0,0</v>
      </c>
      <c r="B69" t="str">
        <f>CONCATENATE(664773,",",ROW(BCKQHDR_06610!B69),"|",COLUMN(BCKQHDR_06610!B69),",0",",0")</f>
        <v>664773,69|2,0,0</v>
      </c>
      <c r="C69" t="str">
        <f>CONCATENATE(664681,",",ROW(BCKQHDR_06610!C69),"|",COLUMN(BCKQHDR_06610!C69),",0",",0")</f>
        <v>664681,69|3,0,0</v>
      </c>
      <c r="D69" t="str">
        <f>CONCATENATE(664510,",",ROW(BCKQHDR_06610!D69),"|",COLUMN(BCKQHDR_06610!D69),",0",",0")</f>
        <v>664510,69|4,0,0</v>
      </c>
      <c r="E69" t="str">
        <f>CONCATENATE(664484,",",ROW(BCKQHDR_06610!E69),"|",COLUMN(BCKQHDR_06610!E69),",0",",0")</f>
        <v>664484,69|5,0,0</v>
      </c>
    </row>
    <row r="70" spans="1:5" x14ac:dyDescent="0.25">
      <c r="A70" t="str">
        <f>CONCATENATE(664602,",",ROW(BCKQHDR_06610!A70),"|",COLUMN(BCKQHDR_06610!A70),",0",",0")</f>
        <v>664602,70|1,0,0</v>
      </c>
      <c r="B70" t="str">
        <f>CONCATENATE(664685,",",ROW(BCKQHDR_06610!B70),"|",COLUMN(BCKQHDR_06610!B70),",0",",0")</f>
        <v>664685,70|2,0,0</v>
      </c>
      <c r="C70" t="str">
        <f>CONCATENATE(664682,",",ROW(BCKQHDR_06610!C70),"|",COLUMN(BCKQHDR_06610!C70),",0",",0")</f>
        <v>664682,70|3,0,0</v>
      </c>
      <c r="D70" t="str">
        <f>CONCATENATE(664511,",",ROW(BCKQHDR_06610!D70),"|",COLUMN(BCKQHDR_06610!D70),",0",",0")</f>
        <v>664511,70|4,0,0</v>
      </c>
      <c r="E70" t="str">
        <f>CONCATENATE(664485,",",ROW(BCKQHDR_06610!E70),"|",COLUMN(BCKQHDR_06610!E70),",0",",0")</f>
        <v>664485,70|5,0,0</v>
      </c>
    </row>
    <row r="71" spans="1:5" x14ac:dyDescent="0.25">
      <c r="A71" t="str">
        <f>CONCATENATE(664720,",",ROW(BCKQHDR_06610!A71),"|",COLUMN(BCKQHDR_06610!A71),",0",",0")</f>
        <v>664720,71|1,0,0</v>
      </c>
      <c r="B71" t="str">
        <f>CONCATENATE(664792,",",ROW(BCKQHDR_06610!B71),"|",COLUMN(BCKQHDR_06610!B71),",0",",0")</f>
        <v>664792,71|2,0,0</v>
      </c>
      <c r="C71" t="str">
        <f>CONCATENATE(664683,",",ROW(BCKQHDR_06610!C71),"|",COLUMN(BCKQHDR_06610!C71),",0",",0")</f>
        <v>664683,71|3,0,0</v>
      </c>
      <c r="D71" t="str">
        <f>CONCATENATE(664512,",",ROW(BCKQHDR_06610!D71),"|",COLUMN(BCKQHDR_06610!D71),",0",",0")</f>
        <v>664512,71|4,0,0</v>
      </c>
      <c r="E71" t="str">
        <f>CONCATENATE(664486,",",ROW(BCKQHDR_06610!E71),"|",COLUMN(BCKQHDR_06610!E71),",0",",0")</f>
        <v>664486,71|5,0,0</v>
      </c>
    </row>
    <row r="72" spans="1:5" x14ac:dyDescent="0.25">
      <c r="A72" t="str">
        <f>CONCATENATE(664539,",",ROW(BCKQHDR_06610!A72),"|",COLUMN(BCKQHDR_06610!A72),",0",",0")</f>
        <v>664539,72|1,0,0</v>
      </c>
      <c r="B72" t="str">
        <f>CONCATENATE(664469,",",ROW(BCKQHDR_06610!B72),"|",COLUMN(BCKQHDR_06610!B72),",0",",0")</f>
        <v>664469,72|2,0,0</v>
      </c>
      <c r="C72" t="str">
        <f>CONCATENATE(664684,",",ROW(BCKQHDR_06610!C72),"|",COLUMN(BCKQHDR_06610!C72),",0",",0")</f>
        <v>664684,72|3,0,0</v>
      </c>
      <c r="D72" t="str">
        <f>CONCATENATE(664513,",",ROW(BCKQHDR_06610!D72),"|",COLUMN(BCKQHDR_06610!D72),",0",",0")</f>
        <v>664513,72|4,0,0</v>
      </c>
      <c r="E72" t="str">
        <f>CONCATENATE(664487,",",ROW(BCKQHDR_06610!E72),"|",COLUMN(BCKQHDR_06610!E72),",0",",0")</f>
        <v>664487,72|5,0,0</v>
      </c>
    </row>
    <row r="73" spans="1:5" x14ac:dyDescent="0.25">
      <c r="A73" t="str">
        <f>CONCATENATE(664647,",",ROW(BCKQHDR_06610!A73),"|",COLUMN(BCKQHDR_06610!A73),",0",",0")</f>
        <v>664647,73|1,0,0</v>
      </c>
      <c r="B73" t="str">
        <f>CONCATENATE(664793,",",ROW(BCKQHDR_06610!B73),"|",COLUMN(BCKQHDR_06610!B73),",0",",0")</f>
        <v>664793,73|2,0,0</v>
      </c>
      <c r="C73" t="str">
        <f>CONCATENATE(664618,",",ROW(BCKQHDR_06610!C73),"|",COLUMN(BCKQHDR_06610!C73),",0",",0")</f>
        <v>664618,73|3,0,0</v>
      </c>
      <c r="D73" t="str">
        <f>CONCATENATE(664514,",",ROW(BCKQHDR_06610!D73),"|",COLUMN(BCKQHDR_06610!D73),",0",",0")</f>
        <v>664514,73|4,0,0</v>
      </c>
      <c r="E73" t="str">
        <f>CONCATENATE(664488,",",ROW(BCKQHDR_06610!E73),"|",COLUMN(BCKQHDR_06610!E73),",0",",0")</f>
        <v>664488,73|5,0,0</v>
      </c>
    </row>
    <row r="74" spans="1:5" x14ac:dyDescent="0.25">
      <c r="A74" t="str">
        <f>CONCATENATE(664453,",",ROW(BCKQHDR_06610!A74),"|",COLUMN(BCKQHDR_06610!A74),",0",",0")</f>
        <v>664453,74|1,0,0</v>
      </c>
      <c r="B74" t="str">
        <f>CONCATENATE(664786,",",ROW(BCKQHDR_06610!B74),"|",COLUMN(BCKQHDR_06610!B74),",0",",0")</f>
        <v>664786,74|2,0,0</v>
      </c>
      <c r="C74" t="str">
        <f>CONCATENATE(664619,",",ROW(BCKQHDR_06610!C74),"|",COLUMN(BCKQHDR_06610!C74),",0",",0")</f>
        <v>664619,74|3,0,0</v>
      </c>
      <c r="D74" t="str">
        <f>CONCATENATE(664515,",",ROW(BCKQHDR_06610!D74),"|",COLUMN(BCKQHDR_06610!D74),",0",",0")</f>
        <v>664515,74|4,0,0</v>
      </c>
      <c r="E74" t="str">
        <f>CONCATENATE(664489,",",ROW(BCKQHDR_06610!E74),"|",COLUMN(BCKQHDR_06610!E74),",0",",0")</f>
        <v>664489,74|5,0,0</v>
      </c>
    </row>
  </sheetData>
  <sheetProtection password="CB7D"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8"/>
  <sheetViews>
    <sheetView workbookViewId="0">
      <selection sqref="A1:E1"/>
    </sheetView>
  </sheetViews>
  <sheetFormatPr defaultRowHeight="15" x14ac:dyDescent="0.25"/>
  <cols>
    <col min="1" max="1" width="31.28515625" bestFit="1" customWidth="1"/>
    <col min="2" max="2" width="12.7109375" bestFit="1" customWidth="1"/>
    <col min="3" max="3" width="16.7109375" bestFit="1" customWidth="1"/>
    <col min="4" max="4" width="12.7109375" bestFit="1" customWidth="1"/>
    <col min="5" max="5" width="14.42578125" bestFit="1" customWidth="1"/>
  </cols>
  <sheetData>
    <row r="1" spans="1:5" ht="20.25" x14ac:dyDescent="0.3">
      <c r="A1" s="1618" t="s">
        <v>14</v>
      </c>
      <c r="B1" s="1618" t="s">
        <v>5</v>
      </c>
      <c r="C1" s="1618" t="s">
        <v>5</v>
      </c>
      <c r="D1" s="1618" t="s">
        <v>5</v>
      </c>
      <c r="E1" s="1618" t="s">
        <v>5</v>
      </c>
    </row>
    <row r="2" spans="1:5" ht="18.75" x14ac:dyDescent="0.3">
      <c r="A2" s="1619" t="s">
        <v>506</v>
      </c>
      <c r="B2" s="1619" t="s">
        <v>5</v>
      </c>
      <c r="C2" s="1619" t="s">
        <v>5</v>
      </c>
      <c r="D2" s="1619" t="s">
        <v>5</v>
      </c>
      <c r="E2" s="1619" t="s">
        <v>5</v>
      </c>
    </row>
    <row r="3" spans="1:5" ht="18.75" x14ac:dyDescent="0.3">
      <c r="A3" s="1619" t="s">
        <v>507</v>
      </c>
      <c r="B3" s="1619" t="s">
        <v>5</v>
      </c>
      <c r="C3" s="1619" t="s">
        <v>5</v>
      </c>
      <c r="D3" s="1619" t="s">
        <v>5</v>
      </c>
      <c r="E3" s="1619" t="s">
        <v>5</v>
      </c>
    </row>
    <row r="4" spans="1:5" ht="18.75" x14ac:dyDescent="0.25">
      <c r="A4" s="793" t="s">
        <v>387</v>
      </c>
      <c r="B4" s="793" t="s">
        <v>31</v>
      </c>
      <c r="C4" s="793" t="s">
        <v>32</v>
      </c>
      <c r="D4" s="793" t="s">
        <v>388</v>
      </c>
      <c r="E4" s="793" t="s">
        <v>389</v>
      </c>
    </row>
    <row r="5" spans="1:5" ht="49.5" x14ac:dyDescent="0.25">
      <c r="A5" s="924" t="s">
        <v>541</v>
      </c>
      <c r="B5" s="792" t="s">
        <v>5</v>
      </c>
      <c r="C5" s="860"/>
      <c r="D5" s="1002" t="s">
        <v>5</v>
      </c>
      <c r="E5" s="798" t="s">
        <v>5</v>
      </c>
    </row>
    <row r="6" spans="1:5" ht="49.5" x14ac:dyDescent="0.25">
      <c r="A6" s="813" t="s">
        <v>508</v>
      </c>
      <c r="B6" s="827" t="s">
        <v>224</v>
      </c>
      <c r="C6" s="964"/>
      <c r="D6" s="934" t="s">
        <v>5</v>
      </c>
      <c r="E6" s="879" t="s">
        <v>5</v>
      </c>
    </row>
    <row r="7" spans="1:5" ht="49.5" x14ac:dyDescent="0.25">
      <c r="A7" s="962" t="s">
        <v>556</v>
      </c>
      <c r="B7" s="828" t="s">
        <v>81</v>
      </c>
      <c r="C7" s="845"/>
      <c r="D7" s="987" t="s">
        <v>5</v>
      </c>
      <c r="E7" s="904" t="s">
        <v>5</v>
      </c>
    </row>
    <row r="8" spans="1:5" ht="16.5" x14ac:dyDescent="0.25">
      <c r="A8" s="929" t="s">
        <v>40</v>
      </c>
      <c r="B8" s="922" t="s">
        <v>115</v>
      </c>
      <c r="C8" s="974" t="s">
        <v>80</v>
      </c>
      <c r="D8" s="923" t="s">
        <v>224</v>
      </c>
      <c r="E8" s="960" t="s">
        <v>81</v>
      </c>
    </row>
    <row r="9" spans="1:5" ht="49.5" x14ac:dyDescent="0.25">
      <c r="A9" s="975" t="s">
        <v>561</v>
      </c>
      <c r="B9" s="829" t="s">
        <v>336</v>
      </c>
      <c r="C9" s="846"/>
      <c r="D9" s="988" t="s">
        <v>5</v>
      </c>
      <c r="E9" s="905" t="s">
        <v>5</v>
      </c>
    </row>
    <row r="10" spans="1:5" ht="33" x14ac:dyDescent="0.25">
      <c r="A10" s="925" t="s">
        <v>542</v>
      </c>
      <c r="B10" s="830" t="s">
        <v>337</v>
      </c>
      <c r="C10" s="847"/>
      <c r="D10" s="989" t="s">
        <v>5</v>
      </c>
      <c r="E10" s="906" t="s">
        <v>5</v>
      </c>
    </row>
    <row r="11" spans="1:5" ht="33" x14ac:dyDescent="0.25">
      <c r="A11" s="976" t="s">
        <v>562</v>
      </c>
      <c r="B11" s="831" t="s">
        <v>372</v>
      </c>
      <c r="C11" s="848"/>
      <c r="D11" s="990" t="s">
        <v>5</v>
      </c>
      <c r="E11" s="907" t="s">
        <v>5</v>
      </c>
    </row>
    <row r="12" spans="1:5" ht="49.5" x14ac:dyDescent="0.25">
      <c r="A12" s="977" t="s">
        <v>563</v>
      </c>
      <c r="B12" s="832" t="s">
        <v>340</v>
      </c>
      <c r="C12" s="849"/>
      <c r="D12" s="991" t="s">
        <v>5</v>
      </c>
      <c r="E12" s="908" t="s">
        <v>5</v>
      </c>
    </row>
    <row r="13" spans="1:5" ht="49.5" x14ac:dyDescent="0.25">
      <c r="A13" s="958" t="s">
        <v>554</v>
      </c>
      <c r="B13" s="882" t="s">
        <v>373</v>
      </c>
      <c r="C13" s="861"/>
      <c r="D13" s="1003" t="s">
        <v>5</v>
      </c>
      <c r="E13" s="799" t="s">
        <v>5</v>
      </c>
    </row>
    <row r="14" spans="1:5" ht="49.5" x14ac:dyDescent="0.25">
      <c r="A14" s="970" t="s">
        <v>558</v>
      </c>
      <c r="B14" s="889" t="s">
        <v>341</v>
      </c>
      <c r="C14" s="863"/>
      <c r="D14" s="1005" t="s">
        <v>5</v>
      </c>
      <c r="E14" s="801" t="s">
        <v>5</v>
      </c>
    </row>
    <row r="15" spans="1:5" ht="49.5" x14ac:dyDescent="0.25">
      <c r="A15" s="979" t="s">
        <v>565</v>
      </c>
      <c r="B15" s="883" t="s">
        <v>362</v>
      </c>
      <c r="C15" s="871"/>
      <c r="D15" s="874" t="s">
        <v>5</v>
      </c>
      <c r="E15" s="809" t="s">
        <v>5</v>
      </c>
    </row>
    <row r="16" spans="1:5" ht="66" x14ac:dyDescent="0.25">
      <c r="A16" s="814" t="s">
        <v>509</v>
      </c>
      <c r="B16" s="884" t="s">
        <v>338</v>
      </c>
      <c r="C16" s="965"/>
      <c r="D16" s="935" t="s">
        <v>5</v>
      </c>
      <c r="E16" s="880" t="s">
        <v>5</v>
      </c>
    </row>
    <row r="17" spans="1:5" ht="49.5" x14ac:dyDescent="0.25">
      <c r="A17" s="978" t="s">
        <v>564</v>
      </c>
      <c r="B17" s="885" t="s">
        <v>343</v>
      </c>
      <c r="C17" s="870"/>
      <c r="D17" s="873" t="s">
        <v>5</v>
      </c>
      <c r="E17" s="808" t="s">
        <v>5</v>
      </c>
    </row>
    <row r="18" spans="1:5" ht="66" x14ac:dyDescent="0.25">
      <c r="A18" s="815" t="s">
        <v>510</v>
      </c>
      <c r="B18" s="821" t="s">
        <v>374</v>
      </c>
      <c r="C18" s="875"/>
      <c r="D18" s="936" t="s">
        <v>5</v>
      </c>
      <c r="E18" s="894" t="s">
        <v>5</v>
      </c>
    </row>
    <row r="19" spans="1:5" ht="51.75" x14ac:dyDescent="0.25">
      <c r="A19" s="816" t="s">
        <v>511</v>
      </c>
      <c r="B19" s="890" t="s">
        <v>529</v>
      </c>
      <c r="C19" s="966"/>
      <c r="D19" s="937" t="s">
        <v>5</v>
      </c>
      <c r="E19" s="895" t="s">
        <v>5</v>
      </c>
    </row>
    <row r="20" spans="1:5" ht="49.5" x14ac:dyDescent="0.25">
      <c r="A20" s="980" t="s">
        <v>566</v>
      </c>
      <c r="B20" s="792" t="s">
        <v>5</v>
      </c>
      <c r="C20" s="931"/>
      <c r="D20" s="876" t="s">
        <v>5</v>
      </c>
      <c r="E20" s="810" t="s">
        <v>5</v>
      </c>
    </row>
    <row r="21" spans="1:5" ht="66" x14ac:dyDescent="0.25">
      <c r="A21" s="838" t="s">
        <v>525</v>
      </c>
      <c r="B21" s="951" t="s">
        <v>339</v>
      </c>
      <c r="C21" s="855"/>
      <c r="D21" s="997" t="s">
        <v>5</v>
      </c>
      <c r="E21" s="957" t="s">
        <v>5</v>
      </c>
    </row>
    <row r="22" spans="1:5" ht="66" x14ac:dyDescent="0.25">
      <c r="A22" s="839" t="s">
        <v>526</v>
      </c>
      <c r="B22" s="952" t="s">
        <v>552</v>
      </c>
      <c r="C22" s="864"/>
      <c r="D22" s="1006" t="s">
        <v>5</v>
      </c>
      <c r="E22" s="802" t="s">
        <v>5</v>
      </c>
    </row>
    <row r="23" spans="1:5" ht="66" x14ac:dyDescent="0.25">
      <c r="A23" s="927" t="s">
        <v>544</v>
      </c>
      <c r="B23" s="928" t="s">
        <v>545</v>
      </c>
      <c r="C23" s="933"/>
      <c r="D23" s="878" t="s">
        <v>5</v>
      </c>
      <c r="E23" s="812" t="s">
        <v>5</v>
      </c>
    </row>
    <row r="24" spans="1:5" ht="66" x14ac:dyDescent="0.25">
      <c r="A24" s="930" t="s">
        <v>546</v>
      </c>
      <c r="B24" s="963" t="s">
        <v>557</v>
      </c>
      <c r="C24" s="932"/>
      <c r="D24" s="877" t="s">
        <v>5</v>
      </c>
      <c r="E24" s="811" t="s">
        <v>5</v>
      </c>
    </row>
    <row r="25" spans="1:5" ht="66" x14ac:dyDescent="0.25">
      <c r="A25" s="981" t="s">
        <v>567</v>
      </c>
      <c r="B25" s="953" t="s">
        <v>553</v>
      </c>
      <c r="C25" s="868"/>
      <c r="D25" s="1010" t="s">
        <v>5</v>
      </c>
      <c r="E25" s="806" t="s">
        <v>5</v>
      </c>
    </row>
    <row r="26" spans="1:5" ht="49.5" x14ac:dyDescent="0.25">
      <c r="A26" s="913" t="s">
        <v>533</v>
      </c>
      <c r="B26" s="822" t="s">
        <v>516</v>
      </c>
      <c r="C26" s="840"/>
      <c r="D26" s="942" t="s">
        <v>5</v>
      </c>
      <c r="E26" s="899" t="s">
        <v>5</v>
      </c>
    </row>
    <row r="27" spans="1:5" ht="49.5" x14ac:dyDescent="0.25">
      <c r="A27" s="926" t="s">
        <v>543</v>
      </c>
      <c r="B27" s="792" t="s">
        <v>5</v>
      </c>
      <c r="C27" s="841"/>
      <c r="D27" s="943" t="s">
        <v>5</v>
      </c>
      <c r="E27" s="900" t="s">
        <v>5</v>
      </c>
    </row>
    <row r="28" spans="1:5" ht="66" x14ac:dyDescent="0.25">
      <c r="A28" s="817" t="s">
        <v>512</v>
      </c>
      <c r="B28" s="823" t="s">
        <v>517</v>
      </c>
      <c r="C28" s="967"/>
      <c r="D28" s="938" t="s">
        <v>5</v>
      </c>
      <c r="E28" s="896" t="s">
        <v>5</v>
      </c>
    </row>
    <row r="29" spans="1:5" ht="66" x14ac:dyDescent="0.25">
      <c r="A29" s="945" t="s">
        <v>547</v>
      </c>
      <c r="B29" s="891" t="s">
        <v>530</v>
      </c>
      <c r="C29" s="865"/>
      <c r="D29" s="1007" t="s">
        <v>5</v>
      </c>
      <c r="E29" s="803" t="s">
        <v>5</v>
      </c>
    </row>
    <row r="30" spans="1:5" ht="33" x14ac:dyDescent="0.25">
      <c r="A30" s="818" t="s">
        <v>513</v>
      </c>
      <c r="B30" s="886" t="s">
        <v>527</v>
      </c>
      <c r="C30" s="968"/>
      <c r="D30" s="939" t="s">
        <v>5</v>
      </c>
      <c r="E30" s="961" t="s">
        <v>5</v>
      </c>
    </row>
    <row r="31" spans="1:5" ht="49.5" x14ac:dyDescent="0.25">
      <c r="A31" s="946" t="s">
        <v>548</v>
      </c>
      <c r="B31" s="833" t="s">
        <v>521</v>
      </c>
      <c r="C31" s="850"/>
      <c r="D31" s="992" t="s">
        <v>5</v>
      </c>
      <c r="E31" s="909" t="s">
        <v>5</v>
      </c>
    </row>
    <row r="32" spans="1:5" ht="33" x14ac:dyDescent="0.25">
      <c r="A32" s="914" t="s">
        <v>534</v>
      </c>
      <c r="B32" s="892" t="s">
        <v>531</v>
      </c>
      <c r="C32" s="856"/>
      <c r="D32" s="998" t="s">
        <v>5</v>
      </c>
      <c r="E32" s="794" t="s">
        <v>5</v>
      </c>
    </row>
    <row r="33" spans="1:5" ht="33" x14ac:dyDescent="0.25">
      <c r="A33" s="819" t="s">
        <v>514</v>
      </c>
      <c r="B33" s="954" t="s">
        <v>306</v>
      </c>
      <c r="C33" s="969"/>
      <c r="D33" s="940" t="s">
        <v>5</v>
      </c>
      <c r="E33" s="897" t="s">
        <v>5</v>
      </c>
    </row>
    <row r="34" spans="1:5" ht="49.5" x14ac:dyDescent="0.25">
      <c r="A34" s="920" t="s">
        <v>539</v>
      </c>
      <c r="B34" s="834" t="s">
        <v>522</v>
      </c>
      <c r="C34" s="851"/>
      <c r="D34" s="993" t="s">
        <v>5</v>
      </c>
      <c r="E34" s="910" t="s">
        <v>5</v>
      </c>
    </row>
    <row r="35" spans="1:5" ht="49.5" x14ac:dyDescent="0.25">
      <c r="A35" s="947" t="s">
        <v>549</v>
      </c>
      <c r="B35" s="824" t="s">
        <v>518</v>
      </c>
      <c r="C35" s="842"/>
      <c r="D35" s="944" t="s">
        <v>5</v>
      </c>
      <c r="E35" s="901" t="s">
        <v>5</v>
      </c>
    </row>
    <row r="36" spans="1:5" ht="33" x14ac:dyDescent="0.25">
      <c r="A36" s="948" t="s">
        <v>550</v>
      </c>
      <c r="B36" s="893" t="s">
        <v>532</v>
      </c>
      <c r="C36" s="866"/>
      <c r="D36" s="1008" t="s">
        <v>5</v>
      </c>
      <c r="E36" s="804" t="s">
        <v>5</v>
      </c>
    </row>
    <row r="37" spans="1:5" ht="49.5" x14ac:dyDescent="0.25">
      <c r="A37" s="949" t="s">
        <v>551</v>
      </c>
      <c r="B37" s="835" t="s">
        <v>378</v>
      </c>
      <c r="C37" s="852"/>
      <c r="D37" s="994" t="s">
        <v>5</v>
      </c>
      <c r="E37" s="911" t="s">
        <v>5</v>
      </c>
    </row>
    <row r="38" spans="1:5" ht="49.5" x14ac:dyDescent="0.25">
      <c r="A38" s="921" t="s">
        <v>540</v>
      </c>
      <c r="B38" s="825" t="s">
        <v>519</v>
      </c>
      <c r="C38" s="843"/>
      <c r="D38" s="985" t="s">
        <v>5</v>
      </c>
      <c r="E38" s="902" t="s">
        <v>5</v>
      </c>
    </row>
    <row r="39" spans="1:5" ht="51.75" x14ac:dyDescent="0.25">
      <c r="A39" s="959" t="s">
        <v>555</v>
      </c>
      <c r="B39" s="982" t="s">
        <v>449</v>
      </c>
      <c r="C39" s="862"/>
      <c r="D39" s="1004" t="s">
        <v>5</v>
      </c>
      <c r="E39" s="800" t="s">
        <v>5</v>
      </c>
    </row>
    <row r="40" spans="1:5" ht="49.5" x14ac:dyDescent="0.25">
      <c r="A40" s="915" t="s">
        <v>535</v>
      </c>
      <c r="B40" s="836" t="s">
        <v>523</v>
      </c>
      <c r="C40" s="853"/>
      <c r="D40" s="995" t="s">
        <v>5</v>
      </c>
      <c r="E40" s="912" t="s">
        <v>5</v>
      </c>
    </row>
    <row r="41" spans="1:5" ht="49.5" x14ac:dyDescent="0.25">
      <c r="A41" s="916" t="s">
        <v>536</v>
      </c>
      <c r="B41" s="826" t="s">
        <v>520</v>
      </c>
      <c r="C41" s="844"/>
      <c r="D41" s="986" t="s">
        <v>5</v>
      </c>
      <c r="E41" s="903" t="s">
        <v>5</v>
      </c>
    </row>
    <row r="42" spans="1:5" ht="33" x14ac:dyDescent="0.25">
      <c r="A42" s="984" t="s">
        <v>538</v>
      </c>
      <c r="B42" s="837" t="s">
        <v>524</v>
      </c>
      <c r="C42" s="854"/>
      <c r="D42" s="996" t="s">
        <v>5</v>
      </c>
      <c r="E42" s="950" t="s">
        <v>5</v>
      </c>
    </row>
    <row r="43" spans="1:5" ht="33" x14ac:dyDescent="0.25">
      <c r="A43" s="917" t="s">
        <v>537</v>
      </c>
      <c r="B43" s="955" t="s">
        <v>489</v>
      </c>
      <c r="C43" s="857"/>
      <c r="D43" s="999" t="s">
        <v>5</v>
      </c>
      <c r="E43" s="795" t="s">
        <v>5</v>
      </c>
    </row>
    <row r="44" spans="1:5" ht="49.5" x14ac:dyDescent="0.25">
      <c r="A44" s="820" t="s">
        <v>515</v>
      </c>
      <c r="B44" s="887" t="s">
        <v>528</v>
      </c>
      <c r="C44" s="971"/>
      <c r="D44" s="941" t="s">
        <v>5</v>
      </c>
      <c r="E44" s="898" t="s">
        <v>5</v>
      </c>
    </row>
    <row r="45" spans="1:5" ht="66" x14ac:dyDescent="0.25">
      <c r="A45" s="983" t="s">
        <v>568</v>
      </c>
      <c r="B45" s="956" t="s">
        <v>462</v>
      </c>
      <c r="C45" s="867"/>
      <c r="D45" s="1009" t="s">
        <v>5</v>
      </c>
      <c r="E45" s="805" t="s">
        <v>5</v>
      </c>
    </row>
    <row r="46" spans="1:5" ht="33" x14ac:dyDescent="0.25">
      <c r="A46" s="918" t="s">
        <v>538</v>
      </c>
      <c r="B46" s="888" t="s">
        <v>463</v>
      </c>
      <c r="C46" s="858"/>
      <c r="D46" s="1000" t="s">
        <v>5</v>
      </c>
      <c r="E46" s="796" t="s">
        <v>5</v>
      </c>
    </row>
    <row r="47" spans="1:5" ht="33" x14ac:dyDescent="0.25">
      <c r="A47" s="919" t="s">
        <v>537</v>
      </c>
      <c r="B47" s="972" t="s">
        <v>559</v>
      </c>
      <c r="C47" s="859"/>
      <c r="D47" s="1001" t="s">
        <v>5</v>
      </c>
      <c r="E47" s="797" t="s">
        <v>5</v>
      </c>
    </row>
    <row r="48" spans="1:5" ht="49.5" x14ac:dyDescent="0.25">
      <c r="A48" s="881" t="s">
        <v>515</v>
      </c>
      <c r="B48" s="973" t="s">
        <v>560</v>
      </c>
      <c r="C48" s="869"/>
      <c r="D48" s="872" t="s">
        <v>5</v>
      </c>
      <c r="E48" s="807" t="s">
        <v>5</v>
      </c>
    </row>
  </sheetData>
  <mergeCells count="3">
    <mergeCell ref="A1:E1"/>
    <mergeCell ref="A2:E2"/>
    <mergeCell ref="A3:E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5:E48"/>
  <sheetViews>
    <sheetView workbookViewId="0"/>
  </sheetViews>
  <sheetFormatPr defaultRowHeight="15" x14ac:dyDescent="0.25"/>
  <cols>
    <col min="1" max="1" width="1" style="435" bestFit="1" customWidth="1"/>
    <col min="2" max="5" width="1" bestFit="1" customWidth="1"/>
  </cols>
  <sheetData>
    <row r="5" spans="1:5" x14ac:dyDescent="0.25">
      <c r="A5" t="str">
        <f>CONCATENATE(665526,",",ROW(BCLCTTRTT_06611!A5),"|",COLUMN(BCLCTTRTT_06611!A5),",0",",0")</f>
        <v>665526,5|1,0,0</v>
      </c>
      <c r="B5" t="s">
        <v>5</v>
      </c>
      <c r="C5" t="str">
        <f>CONCATENATE(665462,",",ROW(BCLCTTRTT_06611!C5),"|",COLUMN(BCLCTTRTT_06611!C5),",0",",0")</f>
        <v>665462,5|3,0,0</v>
      </c>
      <c r="D5" t="str">
        <f>CONCATENATE(665604,",",ROW(BCLCTTRTT_06611!D5),"|",COLUMN(BCLCTTRTT_06611!D5),",0",",0")</f>
        <v>665604,5|4,0,0</v>
      </c>
      <c r="E5" t="str">
        <f>CONCATENATE(665400,",",ROW(BCLCTTRTT_06611!E5),"|",COLUMN(BCLCTTRTT_06611!E5),",0",",0")</f>
        <v>665400,5|5,0,0</v>
      </c>
    </row>
    <row r="6" spans="1:5" x14ac:dyDescent="0.25">
      <c r="A6" t="str">
        <f>CONCATENATE(665415,",",ROW(BCLCTTRTT_06611!A6),"|",COLUMN(BCLCTTRTT_06611!A6),",0",",0")</f>
        <v>665415,6|1,0,0</v>
      </c>
      <c r="B6" t="str">
        <f>CONCATENATE(665429,",",ROW(BCLCTTRTT_06611!B6),"|",COLUMN(BCLCTTRTT_06611!B6),",0",",0")</f>
        <v>665429,6|2,0,0</v>
      </c>
      <c r="C6" t="str">
        <f>CONCATENATE(665566,",",ROW(BCLCTTRTT_06611!C6),"|",COLUMN(BCLCTTRTT_06611!C6),",0",",0")</f>
        <v>665566,6|3,0,0</v>
      </c>
      <c r="D6" t="str">
        <f>CONCATENATE(665536,",",ROW(BCLCTTRTT_06611!D6),"|",COLUMN(BCLCTTRTT_06611!D6),",0",",0")</f>
        <v>665536,6|4,0,0</v>
      </c>
      <c r="E6" t="str">
        <f>CONCATENATE(665481,",",ROW(BCLCTTRTT_06611!E6),"|",COLUMN(BCLCTTRTT_06611!E6),",0",",0")</f>
        <v>665481,6|5,0,0</v>
      </c>
    </row>
    <row r="7" spans="1:5" x14ac:dyDescent="0.25">
      <c r="A7" t="str">
        <f>CONCATENATE(665564,",",ROW(BCLCTTRTT_06611!A7),"|",COLUMN(BCLCTTRTT_06611!A7),",0",",0")</f>
        <v>665564,7|1,0,0</v>
      </c>
      <c r="B7" t="str">
        <f>CONCATENATE(665430,",",ROW(BCLCTTRTT_06611!B7),"|",COLUMN(BCLCTTRTT_06611!B7),",0",",0")</f>
        <v>665430,7|2,0,0</v>
      </c>
      <c r="C7" t="str">
        <f>CONCATENATE(665447,",",ROW(BCLCTTRTT_06611!C7),"|",COLUMN(BCLCTTRTT_06611!C7),",0",",0")</f>
        <v>665447,7|3,0,0</v>
      </c>
      <c r="D7" t="str">
        <f>CONCATENATE(665589,",",ROW(BCLCTTRTT_06611!D7),"|",COLUMN(BCLCTTRTT_06611!D7),",0",",0")</f>
        <v>665589,7|4,0,0</v>
      </c>
      <c r="E7" t="str">
        <f>CONCATENATE(665506,",",ROW(BCLCTTRTT_06611!E7),"|",COLUMN(BCLCTTRTT_06611!E7),",0",",0")</f>
        <v>665506,7|5,0,0</v>
      </c>
    </row>
    <row r="8" spans="1:5" x14ac:dyDescent="0.25">
      <c r="A8" t="str">
        <f>CONCATENATE(665531,",",ROW(BCLCTTRTT_06611!A8),"|",COLUMN(BCLCTTRTT_06611!A8),",0",",0")</f>
        <v>665531,8|1,0,0</v>
      </c>
      <c r="B8" t="str">
        <f>CONCATENATE(665524,",",ROW(BCLCTTRTT_06611!B8),"|",COLUMN(BCLCTTRTT_06611!B8),",0",",0")</f>
        <v>665524,8|2,0,0</v>
      </c>
      <c r="C8" t="str">
        <f>CONCATENATE(665576,",",ROW(BCLCTTRTT_06611!C8),"|",COLUMN(BCLCTTRTT_06611!C8),",0",",0")</f>
        <v>665576,8|3,0,0</v>
      </c>
      <c r="D8" t="str">
        <f>CONCATENATE(665525,",",ROW(BCLCTTRTT_06611!D8),"|",COLUMN(BCLCTTRTT_06611!D8),",0",",0")</f>
        <v>665525,8|4,0,0</v>
      </c>
      <c r="E8" t="str">
        <f>CONCATENATE(665562,",",ROW(BCLCTTRTT_06611!E8),"|",COLUMN(BCLCTTRTT_06611!E8),",0",",0")</f>
        <v>665562,8|5,0,0</v>
      </c>
    </row>
    <row r="9" spans="1:5" x14ac:dyDescent="0.25">
      <c r="A9" t="str">
        <f>CONCATENATE(665577,",",ROW(BCLCTTRTT_06611!A9),"|",COLUMN(BCLCTTRTT_06611!A9),",0",",0")</f>
        <v>665577,9|1,0,0</v>
      </c>
      <c r="B9" t="str">
        <f>CONCATENATE(665431,",",ROW(BCLCTTRTT_06611!B9),"|",COLUMN(BCLCTTRTT_06611!B9),",0",",0")</f>
        <v>665431,9|2,0,0</v>
      </c>
      <c r="C9" t="str">
        <f>CONCATENATE(665448,",",ROW(BCLCTTRTT_06611!C9),"|",COLUMN(BCLCTTRTT_06611!C9),",0",",0")</f>
        <v>665448,9|3,0,0</v>
      </c>
      <c r="D9" t="str">
        <f>CONCATENATE(665590,",",ROW(BCLCTTRTT_06611!D9),"|",COLUMN(BCLCTTRTT_06611!D9),",0",",0")</f>
        <v>665590,9|4,0,0</v>
      </c>
      <c r="E9" t="str">
        <f>CONCATENATE(665507,",",ROW(BCLCTTRTT_06611!E9),"|",COLUMN(BCLCTTRTT_06611!E9),",0",",0")</f>
        <v>665507,9|5,0,0</v>
      </c>
    </row>
    <row r="10" spans="1:5" x14ac:dyDescent="0.25">
      <c r="A10" t="str">
        <f>CONCATENATE(665527,",",ROW(BCLCTTRTT_06611!A10),"|",COLUMN(BCLCTTRTT_06611!A10),",0",",0")</f>
        <v>665527,10|1,0,0</v>
      </c>
      <c r="B10" t="str">
        <f>CONCATENATE(665432,",",ROW(BCLCTTRTT_06611!B10),"|",COLUMN(BCLCTTRTT_06611!B10),",0",",0")</f>
        <v>665432,10|2,0,0</v>
      </c>
      <c r="C10" t="str">
        <f>CONCATENATE(665449,",",ROW(BCLCTTRTT_06611!C10),"|",COLUMN(BCLCTTRTT_06611!C10),",0",",0")</f>
        <v>665449,10|3,0,0</v>
      </c>
      <c r="D10" t="str">
        <f>CONCATENATE(665591,",",ROW(BCLCTTRTT_06611!D10),"|",COLUMN(BCLCTTRTT_06611!D10),",0",",0")</f>
        <v>665591,10|4,0,0</v>
      </c>
      <c r="E10" t="str">
        <f>CONCATENATE(665508,",",ROW(BCLCTTRTT_06611!E10),"|",COLUMN(BCLCTTRTT_06611!E10),",0",",0")</f>
        <v>665508,10|5,0,0</v>
      </c>
    </row>
    <row r="11" spans="1:5" x14ac:dyDescent="0.25">
      <c r="A11" t="str">
        <f>CONCATENATE(665578,",",ROW(BCLCTTRTT_06611!A11),"|",COLUMN(BCLCTTRTT_06611!A11),",0",",0")</f>
        <v>665578,11|1,0,0</v>
      </c>
      <c r="B11" t="str">
        <f>CONCATENATE(665433,",",ROW(BCLCTTRTT_06611!B11),"|",COLUMN(BCLCTTRTT_06611!B11),",0",",0")</f>
        <v>665433,11|2,0,0</v>
      </c>
      <c r="C11" t="str">
        <f>CONCATENATE(665450,",",ROW(BCLCTTRTT_06611!C11),"|",COLUMN(BCLCTTRTT_06611!C11),",0",",0")</f>
        <v>665450,11|3,0,0</v>
      </c>
      <c r="D11" t="str">
        <f>CONCATENATE(665592,",",ROW(BCLCTTRTT_06611!D11),"|",COLUMN(BCLCTTRTT_06611!D11),",0",",0")</f>
        <v>665592,11|4,0,0</v>
      </c>
      <c r="E11" t="str">
        <f>CONCATENATE(665509,",",ROW(BCLCTTRTT_06611!E11),"|",COLUMN(BCLCTTRTT_06611!E11),",0",",0")</f>
        <v>665509,11|5,0,0</v>
      </c>
    </row>
    <row r="12" spans="1:5" x14ac:dyDescent="0.25">
      <c r="A12" t="str">
        <f>CONCATENATE(665579,",",ROW(BCLCTTRTT_06611!A12),"|",COLUMN(BCLCTTRTT_06611!A12),",0",",0")</f>
        <v>665579,12|1,0,0</v>
      </c>
      <c r="B12" t="str">
        <f>CONCATENATE(665434,",",ROW(BCLCTTRTT_06611!B12),"|",COLUMN(BCLCTTRTT_06611!B12),",0",",0")</f>
        <v>665434,12|2,0,0</v>
      </c>
      <c r="C12" t="str">
        <f>CONCATENATE(665451,",",ROW(BCLCTTRTT_06611!C12),"|",COLUMN(BCLCTTRTT_06611!C12),",0",",0")</f>
        <v>665451,12|3,0,0</v>
      </c>
      <c r="D12" t="str">
        <f>CONCATENATE(665593,",",ROW(BCLCTTRTT_06611!D12),"|",COLUMN(BCLCTTRTT_06611!D12),",0",",0")</f>
        <v>665593,12|4,0,0</v>
      </c>
      <c r="E12" t="str">
        <f>CONCATENATE(665510,",",ROW(BCLCTTRTT_06611!E12),"|",COLUMN(BCLCTTRTT_06611!E12),",0",",0")</f>
        <v>665510,12|5,0,0</v>
      </c>
    </row>
    <row r="13" spans="1:5" x14ac:dyDescent="0.25">
      <c r="A13" t="str">
        <f>CONCATENATE(665560,",",ROW(BCLCTTRTT_06611!A13),"|",COLUMN(BCLCTTRTT_06611!A13),",0",",0")</f>
        <v>665560,13|1,0,0</v>
      </c>
      <c r="B13" t="str">
        <f>CONCATENATE(665484,",",ROW(BCLCTTRTT_06611!B13),"|",COLUMN(BCLCTTRTT_06611!B13),",0",",0")</f>
        <v>665484,13|2,0,0</v>
      </c>
      <c r="C13" t="str">
        <f>CONCATENATE(665463,",",ROW(BCLCTTRTT_06611!C13),"|",COLUMN(BCLCTTRTT_06611!C13),",0",",0")</f>
        <v>665463,13|3,0,0</v>
      </c>
      <c r="D13" t="str">
        <f>CONCATENATE(665605,",",ROW(BCLCTTRTT_06611!D13),"|",COLUMN(BCLCTTRTT_06611!D13),",0",",0")</f>
        <v>665605,13|4,0,0</v>
      </c>
      <c r="E13" t="str">
        <f>CONCATENATE(665401,",",ROW(BCLCTTRTT_06611!E13),"|",COLUMN(BCLCTTRTT_06611!E13),",0",",0")</f>
        <v>665401,13|5,0,0</v>
      </c>
    </row>
    <row r="14" spans="1:5" x14ac:dyDescent="0.25">
      <c r="A14" t="str">
        <f>CONCATENATE(665572,",",ROW(BCLCTTRTT_06611!A14),"|",COLUMN(BCLCTTRTT_06611!A14),",0",",0")</f>
        <v>665572,14|1,0,0</v>
      </c>
      <c r="B14" t="str">
        <f>CONCATENATE(665491,",",ROW(BCLCTTRTT_06611!B14),"|",COLUMN(BCLCTTRTT_06611!B14),",0",",0")</f>
        <v>665491,14|2,0,0</v>
      </c>
      <c r="C14" t="str">
        <f>CONCATENATE(665465,",",ROW(BCLCTTRTT_06611!C14),"|",COLUMN(BCLCTTRTT_06611!C14),",0",",0")</f>
        <v>665465,14|3,0,0</v>
      </c>
      <c r="D14" t="str">
        <f>CONCATENATE(665607,",",ROW(BCLCTTRTT_06611!D14),"|",COLUMN(BCLCTTRTT_06611!D14),",0",",0")</f>
        <v>665607,14|4,0,0</v>
      </c>
      <c r="E14" t="str">
        <f>CONCATENATE(665403,",",ROW(BCLCTTRTT_06611!E14),"|",COLUMN(BCLCTTRTT_06611!E14),",0",",0")</f>
        <v>665403,14|5,0,0</v>
      </c>
    </row>
    <row r="15" spans="1:5" x14ac:dyDescent="0.25">
      <c r="A15" t="str">
        <f>CONCATENATE(665581,",",ROW(BCLCTTRTT_06611!A15),"|",COLUMN(BCLCTTRTT_06611!A15),",0",",0")</f>
        <v>665581,15|1,0,0</v>
      </c>
      <c r="B15" t="str">
        <f>CONCATENATE(665485,",",ROW(BCLCTTRTT_06611!B15),"|",COLUMN(BCLCTTRTT_06611!B15),",0",",0")</f>
        <v>665485,15|2,0,0</v>
      </c>
      <c r="C15" t="str">
        <f>CONCATENATE(665473,",",ROW(BCLCTTRTT_06611!C15),"|",COLUMN(BCLCTTRTT_06611!C15),",0",",0")</f>
        <v>665473,15|3,0,0</v>
      </c>
      <c r="D15" t="str">
        <f>CONCATENATE(665476,",",ROW(BCLCTTRTT_06611!D15),"|",COLUMN(BCLCTTRTT_06611!D15),",0",",0")</f>
        <v>665476,15|4,0,0</v>
      </c>
      <c r="E15" t="str">
        <f>CONCATENATE(665411,",",ROW(BCLCTTRTT_06611!E15),"|",COLUMN(BCLCTTRTT_06611!E15),",0",",0")</f>
        <v>665411,15|5,0,0</v>
      </c>
    </row>
    <row r="16" spans="1:5" x14ac:dyDescent="0.25">
      <c r="A16" t="str">
        <f>CONCATENATE(665416,",",ROW(BCLCTTRTT_06611!A16),"|",COLUMN(BCLCTTRTT_06611!A16),",0",",0")</f>
        <v>665416,16|1,0,0</v>
      </c>
      <c r="B16" t="str">
        <f>CONCATENATE(665486,",",ROW(BCLCTTRTT_06611!B16),"|",COLUMN(BCLCTTRTT_06611!B16),",0",",0")</f>
        <v>665486,16|2,0,0</v>
      </c>
      <c r="C16" t="str">
        <f>CONCATENATE(665567,",",ROW(BCLCTTRTT_06611!C16),"|",COLUMN(BCLCTTRTT_06611!C16),",0",",0")</f>
        <v>665567,16|3,0,0</v>
      </c>
      <c r="D16" t="str">
        <f>CONCATENATE(665537,",",ROW(BCLCTTRTT_06611!D16),"|",COLUMN(BCLCTTRTT_06611!D16),",0",",0")</f>
        <v>665537,16|4,0,0</v>
      </c>
      <c r="E16" t="str">
        <f>CONCATENATE(665482,",",ROW(BCLCTTRTT_06611!E16),"|",COLUMN(BCLCTTRTT_06611!E16),",0",",0")</f>
        <v>665482,16|5,0,0</v>
      </c>
    </row>
    <row r="17" spans="1:5" x14ac:dyDescent="0.25">
      <c r="A17" t="str">
        <f>CONCATENATE(665580,",",ROW(BCLCTTRTT_06611!A17),"|",COLUMN(BCLCTTRTT_06611!A17),",0",",0")</f>
        <v>665580,17|1,0,0</v>
      </c>
      <c r="B17" t="str">
        <f>CONCATENATE(665487,",",ROW(BCLCTTRTT_06611!B17),"|",COLUMN(BCLCTTRTT_06611!B17),",0",",0")</f>
        <v>665487,17|2,0,0</v>
      </c>
      <c r="C17" t="str">
        <f>CONCATENATE(665472,",",ROW(BCLCTTRTT_06611!C17),"|",COLUMN(BCLCTTRTT_06611!C17),",0",",0")</f>
        <v>665472,17|3,0,0</v>
      </c>
      <c r="D17" t="str">
        <f>CONCATENATE(665475,",",ROW(BCLCTTRTT_06611!D17),"|",COLUMN(BCLCTTRTT_06611!D17),",0",",0")</f>
        <v>665475,17|4,0,0</v>
      </c>
      <c r="E17" t="str">
        <f>CONCATENATE(665410,",",ROW(BCLCTTRTT_06611!E17),"|",COLUMN(BCLCTTRTT_06611!E17),",0",",0")</f>
        <v>665410,17|5,0,0</v>
      </c>
    </row>
    <row r="18" spans="1:5" x14ac:dyDescent="0.25">
      <c r="A18" t="str">
        <f>CONCATENATE(665417,",",ROW(BCLCTTRTT_06611!A18),"|",COLUMN(BCLCTTRTT_06611!A18),",0",",0")</f>
        <v>665417,18|1,0,0</v>
      </c>
      <c r="B18" t="str">
        <f>CONCATENATE(665423,",",ROW(BCLCTTRTT_06611!B18),"|",COLUMN(BCLCTTRTT_06611!B18),",0",",0")</f>
        <v>665423,18|2,0,0</v>
      </c>
      <c r="C18" t="str">
        <f>CONCATENATE(665477,",",ROW(BCLCTTRTT_06611!C18),"|",COLUMN(BCLCTTRTT_06611!C18),",0",",0")</f>
        <v>665477,18|3,0,0</v>
      </c>
      <c r="D18" t="str">
        <f>CONCATENATE(665538,",",ROW(BCLCTTRTT_06611!D18),"|",COLUMN(BCLCTTRTT_06611!D18),",0",",0")</f>
        <v>665538,18|4,0,0</v>
      </c>
      <c r="E18" t="str">
        <f>CONCATENATE(665496,",",ROW(BCLCTTRTT_06611!E18),"|",COLUMN(BCLCTTRTT_06611!E18),",0",",0")</f>
        <v>665496,18|5,0,0</v>
      </c>
    </row>
    <row r="19" spans="1:5" x14ac:dyDescent="0.25">
      <c r="A19" t="str">
        <f>CONCATENATE(665418,",",ROW(BCLCTTRTT_06611!A19),"|",COLUMN(BCLCTTRTT_06611!A19),",0",",0")</f>
        <v>665418,19|1,0,0</v>
      </c>
      <c r="B19" t="str">
        <f>CONCATENATE(665492,",",ROW(BCLCTTRTT_06611!B19),"|",COLUMN(BCLCTTRTT_06611!B19),",0",",0")</f>
        <v>665492,19|2,0,0</v>
      </c>
      <c r="C19" t="str">
        <f>CONCATENATE(665568,",",ROW(BCLCTTRTT_06611!C19),"|",COLUMN(BCLCTTRTT_06611!C19),",0",",0")</f>
        <v>665568,19|3,0,0</v>
      </c>
      <c r="D19" t="str">
        <f>CONCATENATE(665539,",",ROW(BCLCTTRTT_06611!D19),"|",COLUMN(BCLCTTRTT_06611!D19),",0",",0")</f>
        <v>665539,19|4,0,0</v>
      </c>
      <c r="E19" t="str">
        <f>CONCATENATE(665497,",",ROW(BCLCTTRTT_06611!E19),"|",COLUMN(BCLCTTRTT_06611!E19),",0",",0")</f>
        <v>665497,19|5,0,0</v>
      </c>
    </row>
    <row r="20" spans="1:5" x14ac:dyDescent="0.25">
      <c r="A20" t="str">
        <f>CONCATENATE(665582,",",ROW(BCLCTTRTT_06611!A20),"|",COLUMN(BCLCTTRTT_06611!A20),",0",",0")</f>
        <v>665582,20|1,0,0</v>
      </c>
      <c r="B20" t="s">
        <v>5</v>
      </c>
      <c r="C20" t="str">
        <f>CONCATENATE(665533,",",ROW(BCLCTTRTT_06611!C20),"|",COLUMN(BCLCTTRTT_06611!C20),",0",",0")</f>
        <v>665533,20|3,0,0</v>
      </c>
      <c r="D20" t="str">
        <f>CONCATENATE(665478,",",ROW(BCLCTTRTT_06611!D20),"|",COLUMN(BCLCTTRTT_06611!D20),",0",",0")</f>
        <v>665478,20|4,0,0</v>
      </c>
      <c r="E20" t="str">
        <f>CONCATENATE(665412,",",ROW(BCLCTTRTT_06611!E20),"|",COLUMN(BCLCTTRTT_06611!E20),",0",",0")</f>
        <v>665412,20|5,0,0</v>
      </c>
    </row>
    <row r="21" spans="1:5" x14ac:dyDescent="0.25">
      <c r="A21" t="str">
        <f>CONCATENATE(665440,",",ROW(BCLCTTRTT_06611!A21),"|",COLUMN(BCLCTTRTT_06611!A21),",0",",0")</f>
        <v>665440,21|1,0,0</v>
      </c>
      <c r="B21" t="str">
        <f>CONCATENATE(665553,",",ROW(BCLCTTRTT_06611!B21),"|",COLUMN(BCLCTTRTT_06611!B21),",0",",0")</f>
        <v>665553,21|2,0,0</v>
      </c>
      <c r="C21" t="str">
        <f>CONCATENATE(665457,",",ROW(BCLCTTRTT_06611!C21),"|",COLUMN(BCLCTTRTT_06611!C21),",0",",0")</f>
        <v>665457,21|3,0,0</v>
      </c>
      <c r="D21" t="str">
        <f>CONCATENATE(665599,",",ROW(BCLCTTRTT_06611!D21),"|",COLUMN(BCLCTTRTT_06611!D21),",0",",0")</f>
        <v>665599,21|4,0,0</v>
      </c>
      <c r="E21" t="str">
        <f>CONCATENATE(665559,",",ROW(BCLCTTRTT_06611!E21),"|",COLUMN(BCLCTTRTT_06611!E21),",0",",0")</f>
        <v>665559,21|5,0,0</v>
      </c>
    </row>
    <row r="22" spans="1:5" x14ac:dyDescent="0.25">
      <c r="A22" t="str">
        <f>CONCATENATE(665441,",",ROW(BCLCTTRTT_06611!A22),"|",COLUMN(BCLCTTRTT_06611!A22),",0",",0")</f>
        <v>665441,22|1,0,0</v>
      </c>
      <c r="B22" t="str">
        <f>CONCATENATE(665554,",",ROW(BCLCTTRTT_06611!B22),"|",COLUMN(BCLCTTRTT_06611!B22),",0",",0")</f>
        <v>665554,22|2,0,0</v>
      </c>
      <c r="C22" t="str">
        <f>CONCATENATE(665466,",",ROW(BCLCTTRTT_06611!C22),"|",COLUMN(BCLCTTRTT_06611!C22),",0",",0")</f>
        <v>665466,22|3,0,0</v>
      </c>
      <c r="D22" t="str">
        <f>CONCATENATE(665608,",",ROW(BCLCTTRTT_06611!D22),"|",COLUMN(BCLCTTRTT_06611!D22),",0",",0")</f>
        <v>665608,22|4,0,0</v>
      </c>
      <c r="E22" t="str">
        <f>CONCATENATE(665404,",",ROW(BCLCTTRTT_06611!E22),"|",COLUMN(BCLCTTRTT_06611!E22),",0",",0")</f>
        <v>665404,22|5,0,0</v>
      </c>
    </row>
    <row r="23" spans="1:5" x14ac:dyDescent="0.25">
      <c r="A23" t="str">
        <f>CONCATENATE(665529,",",ROW(BCLCTTRTT_06611!A23),"|",COLUMN(BCLCTTRTT_06611!A23),",0",",0")</f>
        <v>665529,23|1,0,0</v>
      </c>
      <c r="B23" t="str">
        <f>CONCATENATE(665530,",",ROW(BCLCTTRTT_06611!B23),"|",COLUMN(BCLCTTRTT_06611!B23),",0",",0")</f>
        <v>665530,23|2,0,0</v>
      </c>
      <c r="C23" t="str">
        <f>CONCATENATE(665535,",",ROW(BCLCTTRTT_06611!C23),"|",COLUMN(BCLCTTRTT_06611!C23),",0",",0")</f>
        <v>665535,23|3,0,0</v>
      </c>
      <c r="D23" t="str">
        <f>CONCATENATE(665480,",",ROW(BCLCTTRTT_06611!D23),"|",COLUMN(BCLCTTRTT_06611!D23),",0",",0")</f>
        <v>665480,23|4,0,0</v>
      </c>
      <c r="E23" t="str">
        <f>CONCATENATE(665414,",",ROW(BCLCTTRTT_06611!E23),"|",COLUMN(BCLCTTRTT_06611!E23),",0",",0")</f>
        <v>665414,23|5,0,0</v>
      </c>
    </row>
    <row r="24" spans="1:5" x14ac:dyDescent="0.25">
      <c r="A24" t="str">
        <f>CONCATENATE(665532,",",ROW(BCLCTTRTT_06611!A24),"|",COLUMN(BCLCTTRTT_06611!A24),",0",",0")</f>
        <v>665532,24|1,0,0</v>
      </c>
      <c r="B24" t="str">
        <f>CONCATENATE(665565,",",ROW(BCLCTTRTT_06611!B24),"|",COLUMN(BCLCTTRTT_06611!B24),",0",",0")</f>
        <v>665565,24|2,0,0</v>
      </c>
      <c r="C24" t="str">
        <f>CONCATENATE(665534,",",ROW(BCLCTTRTT_06611!C24),"|",COLUMN(BCLCTTRTT_06611!C24),",0",",0")</f>
        <v>665534,24|3,0,0</v>
      </c>
      <c r="D24" t="str">
        <f>CONCATENATE(665479,",",ROW(BCLCTTRTT_06611!D24),"|",COLUMN(BCLCTTRTT_06611!D24),",0",",0")</f>
        <v>665479,24|4,0,0</v>
      </c>
      <c r="E24" t="str">
        <f>CONCATENATE(665413,",",ROW(BCLCTTRTT_06611!E24),"|",COLUMN(BCLCTTRTT_06611!E24),",0",",0")</f>
        <v>665413,24|5,0,0</v>
      </c>
    </row>
    <row r="25" spans="1:5" x14ac:dyDescent="0.25">
      <c r="A25" t="str">
        <f>CONCATENATE(665583,",",ROW(BCLCTTRTT_06611!A25),"|",COLUMN(BCLCTTRTT_06611!A25),",0",",0")</f>
        <v>665583,25|1,0,0</v>
      </c>
      <c r="B25" t="str">
        <f>CONCATENATE(665555,",",ROW(BCLCTTRTT_06611!B25),"|",COLUMN(BCLCTTRTT_06611!B25),",0",",0")</f>
        <v>665555,25|2,0,0</v>
      </c>
      <c r="C25" t="str">
        <f>CONCATENATE(665470,",",ROW(BCLCTTRTT_06611!C25),"|",COLUMN(BCLCTTRTT_06611!C25),",0",",0")</f>
        <v>665470,25|3,0,0</v>
      </c>
      <c r="D25" t="str">
        <f>CONCATENATE(665612,",",ROW(BCLCTTRTT_06611!D25),"|",COLUMN(BCLCTTRTT_06611!D25),",0",",0")</f>
        <v>665612,25|4,0,0</v>
      </c>
      <c r="E25" t="str">
        <f>CONCATENATE(665408,",",ROW(BCLCTTRTT_06611!E25),"|",COLUMN(BCLCTTRTT_06611!E25),",0",",0")</f>
        <v>665408,25|5,0,0</v>
      </c>
    </row>
    <row r="26" spans="1:5" x14ac:dyDescent="0.25">
      <c r="A26" t="str">
        <f>CONCATENATE(665515,",",ROW(BCLCTTRTT_06611!A26),"|",COLUMN(BCLCTTRTT_06611!A26),",0",",0")</f>
        <v>665515,26|1,0,0</v>
      </c>
      <c r="B26" t="str">
        <f>CONCATENATE(665424,",",ROW(BCLCTTRTT_06611!B26),"|",COLUMN(BCLCTTRTT_06611!B26),",0",",0")</f>
        <v>665424,26|2,0,0</v>
      </c>
      <c r="C26" t="str">
        <f>CONCATENATE(665442,",",ROW(BCLCTTRTT_06611!C26),"|",COLUMN(BCLCTTRTT_06611!C26),",0",",0")</f>
        <v>665442,26|3,0,0</v>
      </c>
      <c r="D26" t="str">
        <f>CONCATENATE(665544,",",ROW(BCLCTTRTT_06611!D26),"|",COLUMN(BCLCTTRTT_06611!D26),",0",",0")</f>
        <v>665544,26|4,0,0</v>
      </c>
      <c r="E26" t="str">
        <f>CONCATENATE(665501,",",ROW(BCLCTTRTT_06611!E26),"|",COLUMN(BCLCTTRTT_06611!E26),",0",",0")</f>
        <v>665501,26|5,0,0</v>
      </c>
    </row>
    <row r="27" spans="1:5" x14ac:dyDescent="0.25">
      <c r="A27" t="str">
        <f>CONCATENATE(665528,",",ROW(BCLCTTRTT_06611!A27),"|",COLUMN(BCLCTTRTT_06611!A27),",0",",0")</f>
        <v>665528,27|1,0,0</v>
      </c>
      <c r="B27" t="s">
        <v>5</v>
      </c>
      <c r="C27" t="str">
        <f>CONCATENATE(665443,",",ROW(BCLCTTRTT_06611!C27),"|",COLUMN(BCLCTTRTT_06611!C27),",0",",0")</f>
        <v>665443,27|3,0,0</v>
      </c>
      <c r="D27" t="str">
        <f>CONCATENATE(665545,",",ROW(BCLCTTRTT_06611!D27),"|",COLUMN(BCLCTTRTT_06611!D27),",0",",0")</f>
        <v>665545,27|4,0,0</v>
      </c>
      <c r="E27" t="str">
        <f>CONCATENATE(665502,",",ROW(BCLCTTRTT_06611!E27),"|",COLUMN(BCLCTTRTT_06611!E27),",0",",0")</f>
        <v>665502,27|5,0,0</v>
      </c>
    </row>
    <row r="28" spans="1:5" x14ac:dyDescent="0.25">
      <c r="A28" t="str">
        <f>CONCATENATE(665419,",",ROW(BCLCTTRTT_06611!A28),"|",COLUMN(BCLCTTRTT_06611!A28),",0",",0")</f>
        <v>665419,28|1,0,0</v>
      </c>
      <c r="B28" t="str">
        <f>CONCATENATE(665425,",",ROW(BCLCTTRTT_06611!B28),"|",COLUMN(BCLCTTRTT_06611!B28),",0",",0")</f>
        <v>665425,28|2,0,0</v>
      </c>
      <c r="C28" t="str">
        <f>CONCATENATE(665569,",",ROW(BCLCTTRTT_06611!C28),"|",COLUMN(BCLCTTRTT_06611!C28),",0",",0")</f>
        <v>665569,28|3,0,0</v>
      </c>
      <c r="D28" t="str">
        <f>CONCATENATE(665540,",",ROW(BCLCTTRTT_06611!D28),"|",COLUMN(BCLCTTRTT_06611!D28),",0",",0")</f>
        <v>665540,28|4,0,0</v>
      </c>
      <c r="E28" t="str">
        <f>CONCATENATE(665498,",",ROW(BCLCTTRTT_06611!E28),"|",COLUMN(BCLCTTRTT_06611!E28),",0",",0")</f>
        <v>665498,28|5,0,0</v>
      </c>
    </row>
    <row r="29" spans="1:5" x14ac:dyDescent="0.25">
      <c r="A29" t="str">
        <f>CONCATENATE(665547,",",ROW(BCLCTTRTT_06611!A29),"|",COLUMN(BCLCTTRTT_06611!A29),",0",",0")</f>
        <v>665547,29|1,0,0</v>
      </c>
      <c r="B29" t="str">
        <f>CONCATENATE(665493,",",ROW(BCLCTTRTT_06611!B29),"|",COLUMN(BCLCTTRTT_06611!B29),",0",",0")</f>
        <v>665493,29|2,0,0</v>
      </c>
      <c r="C29" t="str">
        <f>CONCATENATE(665467,",",ROW(BCLCTTRTT_06611!C29),"|",COLUMN(BCLCTTRTT_06611!C29),",0",",0")</f>
        <v>665467,29|3,0,0</v>
      </c>
      <c r="D29" t="str">
        <f>CONCATENATE(665609,",",ROW(BCLCTTRTT_06611!D29),"|",COLUMN(BCLCTTRTT_06611!D29),",0",",0")</f>
        <v>665609,29|4,0,0</v>
      </c>
      <c r="E29" t="str">
        <f>CONCATENATE(665405,",",ROW(BCLCTTRTT_06611!E29),"|",COLUMN(BCLCTTRTT_06611!E29),",0",",0")</f>
        <v>665405,29|5,0,0</v>
      </c>
    </row>
    <row r="30" spans="1:5" x14ac:dyDescent="0.25">
      <c r="A30" t="str">
        <f>CONCATENATE(665420,",",ROW(BCLCTTRTT_06611!A30),"|",COLUMN(BCLCTTRTT_06611!A30),",0",",0")</f>
        <v>665420,30|1,0,0</v>
      </c>
      <c r="B30" t="str">
        <f>CONCATENATE(665488,",",ROW(BCLCTTRTT_06611!B30),"|",COLUMN(BCLCTTRTT_06611!B30),",0",",0")</f>
        <v>665488,30|2,0,0</v>
      </c>
      <c r="C30" t="str">
        <f>CONCATENATE(665570,",",ROW(BCLCTTRTT_06611!C30),"|",COLUMN(BCLCTTRTT_06611!C30),",0",",0")</f>
        <v>665570,30|3,0,0</v>
      </c>
      <c r="D30" t="str">
        <f>CONCATENATE(665541,",",ROW(BCLCTTRTT_06611!D30),"|",COLUMN(BCLCTTRTT_06611!D30),",0",",0")</f>
        <v>665541,30|4,0,0</v>
      </c>
      <c r="E30" t="str">
        <f>CONCATENATE(665563,",",ROW(BCLCTTRTT_06611!E30),"|",COLUMN(BCLCTTRTT_06611!E30),",0",",0")</f>
        <v>665563,30|5,0,0</v>
      </c>
    </row>
    <row r="31" spans="1:5" x14ac:dyDescent="0.25">
      <c r="A31" t="str">
        <f>CONCATENATE(665548,",",ROW(BCLCTTRTT_06611!A31),"|",COLUMN(BCLCTTRTT_06611!A31),",0",",0")</f>
        <v>665548,31|1,0,0</v>
      </c>
      <c r="B31" t="str">
        <f>CONCATENATE(665435,",",ROW(BCLCTTRTT_06611!B31),"|",COLUMN(BCLCTTRTT_06611!B31),",0",",0")</f>
        <v>665435,31|2,0,0</v>
      </c>
      <c r="C31" t="str">
        <f>CONCATENATE(665452,",",ROW(BCLCTTRTT_06611!C31),"|",COLUMN(BCLCTTRTT_06611!C31),",0",",0")</f>
        <v>665452,31|3,0,0</v>
      </c>
      <c r="D31" t="str">
        <f>CONCATENATE(665594,",",ROW(BCLCTTRTT_06611!D31),"|",COLUMN(BCLCTTRTT_06611!D31),",0",",0")</f>
        <v>665594,31|4,0,0</v>
      </c>
      <c r="E31" t="str">
        <f>CONCATENATE(665511,",",ROW(BCLCTTRTT_06611!E31),"|",COLUMN(BCLCTTRTT_06611!E31),",0",",0")</f>
        <v>665511,31|5,0,0</v>
      </c>
    </row>
    <row r="32" spans="1:5" x14ac:dyDescent="0.25">
      <c r="A32" t="str">
        <f>CONCATENATE(665516,",",ROW(BCLCTTRTT_06611!A32),"|",COLUMN(BCLCTTRTT_06611!A32),",0",",0")</f>
        <v>665516,32|1,0,0</v>
      </c>
      <c r="B32" t="str">
        <f>CONCATENATE(665494,",",ROW(BCLCTTRTT_06611!B32),"|",COLUMN(BCLCTTRTT_06611!B32),",0",",0")</f>
        <v>665494,32|2,0,0</v>
      </c>
      <c r="C32" t="str">
        <f>CONCATENATE(665458,",",ROW(BCLCTTRTT_06611!C32),"|",COLUMN(BCLCTTRTT_06611!C32),",0",",0")</f>
        <v>665458,32|3,0,0</v>
      </c>
      <c r="D32" t="str">
        <f>CONCATENATE(665600,",",ROW(BCLCTTRTT_06611!D32),"|",COLUMN(BCLCTTRTT_06611!D32),",0",",0")</f>
        <v>665600,32|4,0,0</v>
      </c>
      <c r="E32" t="str">
        <f>CONCATENATE(665396,",",ROW(BCLCTTRTT_06611!E32),"|",COLUMN(BCLCTTRTT_06611!E32),",0",",0")</f>
        <v>665396,32|5,0,0</v>
      </c>
    </row>
    <row r="33" spans="1:5" x14ac:dyDescent="0.25">
      <c r="A33" t="str">
        <f>CONCATENATE(665421,",",ROW(BCLCTTRTT_06611!A33),"|",COLUMN(BCLCTTRTT_06611!A33),",0",",0")</f>
        <v>665421,33|1,0,0</v>
      </c>
      <c r="B33" t="str">
        <f>CONCATENATE(665556,",",ROW(BCLCTTRTT_06611!B33),"|",COLUMN(BCLCTTRTT_06611!B33),",0",",0")</f>
        <v>665556,33|2,0,0</v>
      </c>
      <c r="C33" t="str">
        <f>CONCATENATE(665571,",",ROW(BCLCTTRTT_06611!C33),"|",COLUMN(BCLCTTRTT_06611!C33),",0",",0")</f>
        <v>665571,33|3,0,0</v>
      </c>
      <c r="D33" t="str">
        <f>CONCATENATE(665542,",",ROW(BCLCTTRTT_06611!D33),"|",COLUMN(BCLCTTRTT_06611!D33),",0",",0")</f>
        <v>665542,33|4,0,0</v>
      </c>
      <c r="E33" t="str">
        <f>CONCATENATE(665499,",",ROW(BCLCTTRTT_06611!E33),"|",COLUMN(BCLCTTRTT_06611!E33),",0",",0")</f>
        <v>665499,33|5,0,0</v>
      </c>
    </row>
    <row r="34" spans="1:5" x14ac:dyDescent="0.25">
      <c r="A34" t="str">
        <f>CONCATENATE(665522,",",ROW(BCLCTTRTT_06611!A34),"|",COLUMN(BCLCTTRTT_06611!A34),",0",",0")</f>
        <v>665522,34|1,0,0</v>
      </c>
      <c r="B34" t="str">
        <f>CONCATENATE(665436,",",ROW(BCLCTTRTT_06611!B34),"|",COLUMN(BCLCTTRTT_06611!B34),",0",",0")</f>
        <v>665436,34|2,0,0</v>
      </c>
      <c r="C34" t="str">
        <f>CONCATENATE(665453,",",ROW(BCLCTTRTT_06611!C34),"|",COLUMN(BCLCTTRTT_06611!C34),",0",",0")</f>
        <v>665453,34|3,0,0</v>
      </c>
      <c r="D34" t="str">
        <f>CONCATENATE(665595,",",ROW(BCLCTTRTT_06611!D34),"|",COLUMN(BCLCTTRTT_06611!D34),",0",",0")</f>
        <v>665595,34|4,0,0</v>
      </c>
      <c r="E34" t="str">
        <f>CONCATENATE(665512,",",ROW(BCLCTTRTT_06611!E34),"|",COLUMN(BCLCTTRTT_06611!E34),",0",",0")</f>
        <v>665512,34|5,0,0</v>
      </c>
    </row>
    <row r="35" spans="1:5" x14ac:dyDescent="0.25">
      <c r="A35" t="str">
        <f>CONCATENATE(665549,",",ROW(BCLCTTRTT_06611!A35),"|",COLUMN(BCLCTTRTT_06611!A35),",0",",0")</f>
        <v>665549,35|1,0,0</v>
      </c>
      <c r="B35" t="str">
        <f>CONCATENATE(665426,",",ROW(BCLCTTRTT_06611!B35),"|",COLUMN(BCLCTTRTT_06611!B35),",0",",0")</f>
        <v>665426,35|2,0,0</v>
      </c>
      <c r="C35" t="str">
        <f>CONCATENATE(665444,",",ROW(BCLCTTRTT_06611!C35),"|",COLUMN(BCLCTTRTT_06611!C35),",0",",0")</f>
        <v>665444,35|3,0,0</v>
      </c>
      <c r="D35" t="str">
        <f>CONCATENATE(665546,",",ROW(BCLCTTRTT_06611!D35),"|",COLUMN(BCLCTTRTT_06611!D35),",0",",0")</f>
        <v>665546,35|4,0,0</v>
      </c>
      <c r="E35" t="str">
        <f>CONCATENATE(665503,",",ROW(BCLCTTRTT_06611!E35),"|",COLUMN(BCLCTTRTT_06611!E35),",0",",0")</f>
        <v>665503,35|5,0,0</v>
      </c>
    </row>
    <row r="36" spans="1:5" x14ac:dyDescent="0.25">
      <c r="A36" t="str">
        <f>CONCATENATE(665550,",",ROW(BCLCTTRTT_06611!A36),"|",COLUMN(BCLCTTRTT_06611!A36),",0",",0")</f>
        <v>665550,36|1,0,0</v>
      </c>
      <c r="B36" t="str">
        <f>CONCATENATE(665495,",",ROW(BCLCTTRTT_06611!B36),"|",COLUMN(BCLCTTRTT_06611!B36),",0",",0")</f>
        <v>665495,36|2,0,0</v>
      </c>
      <c r="C36" t="str">
        <f>CONCATENATE(665468,",",ROW(BCLCTTRTT_06611!C36),"|",COLUMN(BCLCTTRTT_06611!C36),",0",",0")</f>
        <v>665468,36|3,0,0</v>
      </c>
      <c r="D36" t="str">
        <f>CONCATENATE(665610,",",ROW(BCLCTTRTT_06611!D36),"|",COLUMN(BCLCTTRTT_06611!D36),",0",",0")</f>
        <v>665610,36|4,0,0</v>
      </c>
      <c r="E36" t="str">
        <f>CONCATENATE(665406,",",ROW(BCLCTTRTT_06611!E36),"|",COLUMN(BCLCTTRTT_06611!E36),",0",",0")</f>
        <v>665406,36|5,0,0</v>
      </c>
    </row>
    <row r="37" spans="1:5" x14ac:dyDescent="0.25">
      <c r="A37" t="str">
        <f>CONCATENATE(665551,",",ROW(BCLCTTRTT_06611!A37),"|",COLUMN(BCLCTTRTT_06611!A37),",0",",0")</f>
        <v>665551,37|1,0,0</v>
      </c>
      <c r="B37" t="str">
        <f>CONCATENATE(665437,",",ROW(BCLCTTRTT_06611!B37),"|",COLUMN(BCLCTTRTT_06611!B37),",0",",0")</f>
        <v>665437,37|2,0,0</v>
      </c>
      <c r="C37" t="str">
        <f>CONCATENATE(665454,",",ROW(BCLCTTRTT_06611!C37),"|",COLUMN(BCLCTTRTT_06611!C37),",0",",0")</f>
        <v>665454,37|3,0,0</v>
      </c>
      <c r="D37" t="str">
        <f>CONCATENATE(665596,",",ROW(BCLCTTRTT_06611!D37),"|",COLUMN(BCLCTTRTT_06611!D37),",0",",0")</f>
        <v>665596,37|4,0,0</v>
      </c>
      <c r="E37" t="str">
        <f>CONCATENATE(665513,",",ROW(BCLCTTRTT_06611!E37),"|",COLUMN(BCLCTTRTT_06611!E37),",0",",0")</f>
        <v>665513,37|5,0,0</v>
      </c>
    </row>
    <row r="38" spans="1:5" x14ac:dyDescent="0.25">
      <c r="A38" t="str">
        <f>CONCATENATE(665523,",",ROW(BCLCTTRTT_06611!A38),"|",COLUMN(BCLCTTRTT_06611!A38),",0",",0")</f>
        <v>665523,38|1,0,0</v>
      </c>
      <c r="B38" t="str">
        <f>CONCATENATE(665427,",",ROW(BCLCTTRTT_06611!B38),"|",COLUMN(BCLCTTRTT_06611!B38),",0",",0")</f>
        <v>665427,38|2,0,0</v>
      </c>
      <c r="C38" t="str">
        <f>CONCATENATE(665445,",",ROW(BCLCTTRTT_06611!C38),"|",COLUMN(BCLCTTRTT_06611!C38),",0",",0")</f>
        <v>665445,38|3,0,0</v>
      </c>
      <c r="D38" t="str">
        <f>CONCATENATE(665587,",",ROW(BCLCTTRTT_06611!D38),"|",COLUMN(BCLCTTRTT_06611!D38),",0",",0")</f>
        <v>665587,38|4,0,0</v>
      </c>
      <c r="E38" t="str">
        <f>CONCATENATE(665504,",",ROW(BCLCTTRTT_06611!E38),"|",COLUMN(BCLCTTRTT_06611!E38),",0",",0")</f>
        <v>665504,38|5,0,0</v>
      </c>
    </row>
    <row r="39" spans="1:5" x14ac:dyDescent="0.25">
      <c r="A39" t="str">
        <f>CONCATENATE(665561,",",ROW(BCLCTTRTT_06611!A39),"|",COLUMN(BCLCTTRTT_06611!A39),",0",",0")</f>
        <v>665561,39|1,0,0</v>
      </c>
      <c r="B39" t="str">
        <f>CONCATENATE(665584,",",ROW(BCLCTTRTT_06611!B39),"|",COLUMN(BCLCTTRTT_06611!B39),",0",",0")</f>
        <v>665584,39|2,0,0</v>
      </c>
      <c r="C39" t="str">
        <f>CONCATENATE(665464,",",ROW(BCLCTTRTT_06611!C39),"|",COLUMN(BCLCTTRTT_06611!C39),",0",",0")</f>
        <v>665464,39|3,0,0</v>
      </c>
      <c r="D39" t="str">
        <f>CONCATENATE(665606,",",ROW(BCLCTTRTT_06611!D39),"|",COLUMN(BCLCTTRTT_06611!D39),",0",",0")</f>
        <v>665606,39|4,0,0</v>
      </c>
      <c r="E39" t="str">
        <f>CONCATENATE(665402,",",ROW(BCLCTTRTT_06611!E39),"|",COLUMN(BCLCTTRTT_06611!E39),",0",",0")</f>
        <v>665402,39|5,0,0</v>
      </c>
    </row>
    <row r="40" spans="1:5" x14ac:dyDescent="0.25">
      <c r="A40" t="str">
        <f>CONCATENATE(665517,",",ROW(BCLCTTRTT_06611!A40),"|",COLUMN(BCLCTTRTT_06611!A40),",0",",0")</f>
        <v>665517,40|1,0,0</v>
      </c>
      <c r="B40" t="str">
        <f>CONCATENATE(665438,",",ROW(BCLCTTRTT_06611!B40),"|",COLUMN(BCLCTTRTT_06611!B40),",0",",0")</f>
        <v>665438,40|2,0,0</v>
      </c>
      <c r="C40" t="str">
        <f>CONCATENATE(665455,",",ROW(BCLCTTRTT_06611!C40),"|",COLUMN(BCLCTTRTT_06611!C40),",0",",0")</f>
        <v>665455,40|3,0,0</v>
      </c>
      <c r="D40" t="str">
        <f>CONCATENATE(665597,",",ROW(BCLCTTRTT_06611!D40),"|",COLUMN(BCLCTTRTT_06611!D40),",0",",0")</f>
        <v>665597,40|4,0,0</v>
      </c>
      <c r="E40" t="str">
        <f>CONCATENATE(665514,",",ROW(BCLCTTRTT_06611!E40),"|",COLUMN(BCLCTTRTT_06611!E40),",0",",0")</f>
        <v>665514,40|5,0,0</v>
      </c>
    </row>
    <row r="41" spans="1:5" x14ac:dyDescent="0.25">
      <c r="A41" t="str">
        <f>CONCATENATE(665518,",",ROW(BCLCTTRTT_06611!A41),"|",COLUMN(BCLCTTRTT_06611!A41),",0",",0")</f>
        <v>665518,41|1,0,0</v>
      </c>
      <c r="B41" t="str">
        <f>CONCATENATE(665428,",",ROW(BCLCTTRTT_06611!B41),"|",COLUMN(BCLCTTRTT_06611!B41),",0",",0")</f>
        <v>665428,41|2,0,0</v>
      </c>
      <c r="C41" t="str">
        <f>CONCATENATE(665446,",",ROW(BCLCTTRTT_06611!C41),"|",COLUMN(BCLCTTRTT_06611!C41),",0",",0")</f>
        <v>665446,41|3,0,0</v>
      </c>
      <c r="D41" t="str">
        <f>CONCATENATE(665588,",",ROW(BCLCTTRTT_06611!D41),"|",COLUMN(BCLCTTRTT_06611!D41),",0",",0")</f>
        <v>665588,41|4,0,0</v>
      </c>
      <c r="E41" t="str">
        <f>CONCATENATE(665505,",",ROW(BCLCTTRTT_06611!E41),"|",COLUMN(BCLCTTRTT_06611!E41),",0",",0")</f>
        <v>665505,41|5,0,0</v>
      </c>
    </row>
    <row r="42" spans="1:5" x14ac:dyDescent="0.25">
      <c r="A42" t="str">
        <f>CONCATENATE(665586,",",ROW(BCLCTTRTT_06611!A42),"|",COLUMN(BCLCTTRTT_06611!A42),",0",",0")</f>
        <v>665586,42|1,0,0</v>
      </c>
      <c r="B42" t="str">
        <f>CONCATENATE(665439,",",ROW(BCLCTTRTT_06611!B42),"|",COLUMN(BCLCTTRTT_06611!B42),",0",",0")</f>
        <v>665439,42|2,0,0</v>
      </c>
      <c r="C42" t="str">
        <f>CONCATENATE(665456,",",ROW(BCLCTTRTT_06611!C42),"|",COLUMN(BCLCTTRTT_06611!C42),",0",",0")</f>
        <v>665456,42|3,0,0</v>
      </c>
      <c r="D42" t="str">
        <f>CONCATENATE(665598,",",ROW(BCLCTTRTT_06611!D42),"|",COLUMN(BCLCTTRTT_06611!D42),",0",",0")</f>
        <v>665598,42|4,0,0</v>
      </c>
      <c r="E42" t="str">
        <f>CONCATENATE(665552,",",ROW(BCLCTTRTT_06611!E42),"|",COLUMN(BCLCTTRTT_06611!E42),",0",",0")</f>
        <v>665552,42|5,0,0</v>
      </c>
    </row>
    <row r="43" spans="1:5" x14ac:dyDescent="0.25">
      <c r="A43" t="str">
        <f>CONCATENATE(665519,",",ROW(BCLCTTRTT_06611!A43),"|",COLUMN(BCLCTTRTT_06611!A43),",0",",0")</f>
        <v>665519,43|1,0,0</v>
      </c>
      <c r="B43" t="str">
        <f>CONCATENATE(665557,",",ROW(BCLCTTRTT_06611!B43),"|",COLUMN(BCLCTTRTT_06611!B43),",0",",0")</f>
        <v>665557,43|2,0,0</v>
      </c>
      <c r="C43" t="str">
        <f>CONCATENATE(665459,",",ROW(BCLCTTRTT_06611!C43),"|",COLUMN(BCLCTTRTT_06611!C43),",0",",0")</f>
        <v>665459,43|3,0,0</v>
      </c>
      <c r="D43" t="str">
        <f>CONCATENATE(665601,",",ROW(BCLCTTRTT_06611!D43),"|",COLUMN(BCLCTTRTT_06611!D43),",0",",0")</f>
        <v>665601,43|4,0,0</v>
      </c>
      <c r="E43" t="str">
        <f>CONCATENATE(665397,",",ROW(BCLCTTRTT_06611!E43),"|",COLUMN(BCLCTTRTT_06611!E43),",0",",0")</f>
        <v>665397,43|5,0,0</v>
      </c>
    </row>
    <row r="44" spans="1:5" x14ac:dyDescent="0.25">
      <c r="A44" t="str">
        <f>CONCATENATE(665422,",",ROW(BCLCTTRTT_06611!A44),"|",COLUMN(BCLCTTRTT_06611!A44),",0",",0")</f>
        <v>665422,44|1,0,0</v>
      </c>
      <c r="B44" t="str">
        <f>CONCATENATE(665489,",",ROW(BCLCTTRTT_06611!B44),"|",COLUMN(BCLCTTRTT_06611!B44),",0",",0")</f>
        <v>665489,44|2,0,0</v>
      </c>
      <c r="C44" t="str">
        <f>CONCATENATE(665573,",",ROW(BCLCTTRTT_06611!C44),"|",COLUMN(BCLCTTRTT_06611!C44),",0",",0")</f>
        <v>665573,44|3,0,0</v>
      </c>
      <c r="D44" t="str">
        <f>CONCATENATE(665543,",",ROW(BCLCTTRTT_06611!D44),"|",COLUMN(BCLCTTRTT_06611!D44),",0",",0")</f>
        <v>665543,44|4,0,0</v>
      </c>
      <c r="E44" t="str">
        <f>CONCATENATE(665500,",",ROW(BCLCTTRTT_06611!E44),"|",COLUMN(BCLCTTRTT_06611!E44),",0",",0")</f>
        <v>665500,44|5,0,0</v>
      </c>
    </row>
    <row r="45" spans="1:5" x14ac:dyDescent="0.25">
      <c r="A45" t="str">
        <f>CONCATENATE(665585,",",ROW(BCLCTTRTT_06611!A45),"|",COLUMN(BCLCTTRTT_06611!A45),",0",",0")</f>
        <v>665585,45|1,0,0</v>
      </c>
      <c r="B45" t="str">
        <f>CONCATENATE(665558,",",ROW(BCLCTTRTT_06611!B45),"|",COLUMN(BCLCTTRTT_06611!B45),",0",",0")</f>
        <v>665558,45|2,0,0</v>
      </c>
      <c r="C45" t="str">
        <f>CONCATENATE(665469,",",ROW(BCLCTTRTT_06611!C45),"|",COLUMN(BCLCTTRTT_06611!C45),",0",",0")</f>
        <v>665469,45|3,0,0</v>
      </c>
      <c r="D45" t="str">
        <f>CONCATENATE(665611,",",ROW(BCLCTTRTT_06611!D45),"|",COLUMN(BCLCTTRTT_06611!D45),",0",",0")</f>
        <v>665611,45|4,0,0</v>
      </c>
      <c r="E45" t="str">
        <f>CONCATENATE(665407,",",ROW(BCLCTTRTT_06611!E45),"|",COLUMN(BCLCTTRTT_06611!E45),",0",",0")</f>
        <v>665407,45|5,0,0</v>
      </c>
    </row>
    <row r="46" spans="1:5" x14ac:dyDescent="0.25">
      <c r="A46" t="str">
        <f>CONCATENATE(665520,",",ROW(BCLCTTRTT_06611!A46),"|",COLUMN(BCLCTTRTT_06611!A46),",0",",0")</f>
        <v>665520,46|1,0,0</v>
      </c>
      <c r="B46" t="str">
        <f>CONCATENATE(665490,",",ROW(BCLCTTRTT_06611!B46),"|",COLUMN(BCLCTTRTT_06611!B46),",0",",0")</f>
        <v>665490,46|2,0,0</v>
      </c>
      <c r="C46" t="str">
        <f>CONCATENATE(665460,",",ROW(BCLCTTRTT_06611!C46),"|",COLUMN(BCLCTTRTT_06611!C46),",0",",0")</f>
        <v>665460,46|3,0,0</v>
      </c>
      <c r="D46" t="str">
        <f>CONCATENATE(665602,",",ROW(BCLCTTRTT_06611!D46),"|",COLUMN(BCLCTTRTT_06611!D46),",0",",0")</f>
        <v>665602,46|4,0,0</v>
      </c>
      <c r="E46" t="str">
        <f>CONCATENATE(665398,",",ROW(BCLCTTRTT_06611!E46),"|",COLUMN(BCLCTTRTT_06611!E46),",0",",0")</f>
        <v>665398,46|5,0,0</v>
      </c>
    </row>
    <row r="47" spans="1:5" x14ac:dyDescent="0.25">
      <c r="A47" t="str">
        <f>CONCATENATE(665521,",",ROW(BCLCTTRTT_06611!A47),"|",COLUMN(BCLCTTRTT_06611!A47),",0",",0")</f>
        <v>665521,47|1,0,0</v>
      </c>
      <c r="B47" t="str">
        <f>CONCATENATE(665574,",",ROW(BCLCTTRTT_06611!B47),"|",COLUMN(BCLCTTRTT_06611!B47),",0",",0")</f>
        <v>665574,47|2,0,0</v>
      </c>
      <c r="C47" t="str">
        <f>CONCATENATE(665461,",",ROW(BCLCTTRTT_06611!C47),"|",COLUMN(BCLCTTRTT_06611!C47),",0",",0")</f>
        <v>665461,47|3,0,0</v>
      </c>
      <c r="D47" t="str">
        <f>CONCATENATE(665603,",",ROW(BCLCTTRTT_06611!D47),"|",COLUMN(BCLCTTRTT_06611!D47),",0",",0")</f>
        <v>665603,47|4,0,0</v>
      </c>
      <c r="E47" t="str">
        <f>CONCATENATE(665399,",",ROW(BCLCTTRTT_06611!E47),"|",COLUMN(BCLCTTRTT_06611!E47),",0",",0")</f>
        <v>665399,47|5,0,0</v>
      </c>
    </row>
    <row r="48" spans="1:5" x14ac:dyDescent="0.25">
      <c r="A48" t="str">
        <f>CONCATENATE(665483,",",ROW(BCLCTTRTT_06611!A48),"|",COLUMN(BCLCTTRTT_06611!A48),",0",",0")</f>
        <v>665483,48|1,0,0</v>
      </c>
      <c r="B48" t="str">
        <f>CONCATENATE(665575,",",ROW(BCLCTTRTT_06611!B48),"|",COLUMN(BCLCTTRTT_06611!B48),",0",",0")</f>
        <v>665575,48|2,0,0</v>
      </c>
      <c r="C48" t="str">
        <f>CONCATENATE(665471,",",ROW(BCLCTTRTT_06611!C48),"|",COLUMN(BCLCTTRTT_06611!C48),",0",",0")</f>
        <v>665471,48|3,0,0</v>
      </c>
      <c r="D48" t="str">
        <f>CONCATENATE(665474,",",ROW(BCLCTTRTT_06611!D48),"|",COLUMN(BCLCTTRTT_06611!D48),",0",",0")</f>
        <v>665474,48|4,0,0</v>
      </c>
      <c r="E48" t="str">
        <f>CONCATENATE(665409,",",ROW(BCLCTTRTT_06611!E48),"|",COLUMN(BCLCTTRTT_06611!E48),",0",",0")</f>
        <v>665409,48|5,0,0</v>
      </c>
    </row>
  </sheetData>
  <sheetProtection password="CB7D"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9"/>
  <sheetViews>
    <sheetView workbookViewId="0">
      <selection sqref="A1:E1"/>
    </sheetView>
  </sheetViews>
  <sheetFormatPr defaultRowHeight="15" x14ac:dyDescent="0.25"/>
  <cols>
    <col min="1" max="1" width="31.28515625" bestFit="1" customWidth="1"/>
    <col min="2" max="5" width="26.140625" bestFit="1" customWidth="1"/>
  </cols>
  <sheetData>
    <row r="1" spans="1:5" ht="20.25" x14ac:dyDescent="0.3">
      <c r="A1" s="1620" t="s">
        <v>16</v>
      </c>
      <c r="B1" s="1620" t="s">
        <v>5</v>
      </c>
      <c r="C1" s="1620" t="s">
        <v>5</v>
      </c>
      <c r="D1" s="1620" t="s">
        <v>5</v>
      </c>
      <c r="E1" s="1620" t="s">
        <v>5</v>
      </c>
    </row>
    <row r="2" spans="1:5" ht="18.75" x14ac:dyDescent="0.3">
      <c r="A2" s="1621" t="s">
        <v>569</v>
      </c>
      <c r="B2" s="1621" t="s">
        <v>5</v>
      </c>
      <c r="C2" s="1621" t="s">
        <v>5</v>
      </c>
      <c r="D2" s="1621" t="s">
        <v>5</v>
      </c>
      <c r="E2" s="1621" t="s">
        <v>5</v>
      </c>
    </row>
    <row r="3" spans="1:5" ht="18.75" x14ac:dyDescent="0.25">
      <c r="A3" s="1012" t="s">
        <v>30</v>
      </c>
      <c r="B3" s="1012" t="s">
        <v>31</v>
      </c>
      <c r="C3" s="1012" t="s">
        <v>32</v>
      </c>
      <c r="D3" s="1012" t="s">
        <v>388</v>
      </c>
      <c r="E3" s="1012" t="s">
        <v>389</v>
      </c>
    </row>
    <row r="4" spans="1:5" ht="66" x14ac:dyDescent="0.25">
      <c r="A4" s="1111" t="s">
        <v>590</v>
      </c>
      <c r="B4" s="1011" t="s">
        <v>5</v>
      </c>
      <c r="C4" s="1020"/>
      <c r="D4" s="1155" t="s">
        <v>5</v>
      </c>
      <c r="E4" s="1179" t="s">
        <v>5</v>
      </c>
    </row>
    <row r="5" spans="1:5" ht="16.5" x14ac:dyDescent="0.25">
      <c r="A5" s="1147" t="s">
        <v>307</v>
      </c>
      <c r="B5" s="1071" t="s">
        <v>587</v>
      </c>
      <c r="C5" s="1039" t="s">
        <v>80</v>
      </c>
      <c r="D5" s="1163" t="s">
        <v>224</v>
      </c>
      <c r="E5" s="1180" t="s">
        <v>5</v>
      </c>
    </row>
    <row r="6" spans="1:5" ht="49.5" x14ac:dyDescent="0.25">
      <c r="A6" s="1164" t="s">
        <v>600</v>
      </c>
      <c r="B6" s="1059" t="s">
        <v>224</v>
      </c>
      <c r="C6" s="1182"/>
      <c r="D6" s="1021" t="s">
        <v>5</v>
      </c>
      <c r="E6" s="1114" t="s">
        <v>5</v>
      </c>
    </row>
    <row r="7" spans="1:5" ht="49.5" x14ac:dyDescent="0.25">
      <c r="A7" s="1040" t="s">
        <v>574</v>
      </c>
      <c r="B7" s="1051" t="s">
        <v>81</v>
      </c>
      <c r="C7" s="1181"/>
      <c r="D7" s="1022" t="s">
        <v>5</v>
      </c>
      <c r="E7" s="1115" t="s">
        <v>5</v>
      </c>
    </row>
    <row r="8" spans="1:5" ht="49.5" x14ac:dyDescent="0.25">
      <c r="A8" s="1037" t="s">
        <v>572</v>
      </c>
      <c r="B8" s="1056" t="s">
        <v>336</v>
      </c>
      <c r="C8" s="1183"/>
      <c r="D8" s="1023" t="s">
        <v>5</v>
      </c>
      <c r="E8" s="1116" t="s">
        <v>5</v>
      </c>
    </row>
    <row r="9" spans="1:5" ht="49.5" x14ac:dyDescent="0.25">
      <c r="A9" s="1038" t="s">
        <v>573</v>
      </c>
      <c r="B9" s="1052" t="s">
        <v>337</v>
      </c>
      <c r="C9" s="1184"/>
      <c r="D9" s="1024" t="s">
        <v>5</v>
      </c>
      <c r="E9" s="1117" t="s">
        <v>5</v>
      </c>
    </row>
    <row r="10" spans="1:5" ht="49.5" x14ac:dyDescent="0.25">
      <c r="A10" s="1165" t="s">
        <v>601</v>
      </c>
      <c r="B10" s="1158" t="s">
        <v>372</v>
      </c>
      <c r="C10" s="1185"/>
      <c r="D10" s="1025" t="s">
        <v>5</v>
      </c>
      <c r="E10" s="1118" t="s">
        <v>5</v>
      </c>
    </row>
    <row r="11" spans="1:5" ht="49.5" x14ac:dyDescent="0.25">
      <c r="A11" s="1072" t="s">
        <v>588</v>
      </c>
      <c r="B11" s="1162" t="s">
        <v>340</v>
      </c>
      <c r="C11" s="1077"/>
      <c r="D11" s="1026" t="s">
        <v>5</v>
      </c>
      <c r="E11" s="1119" t="s">
        <v>5</v>
      </c>
    </row>
    <row r="12" spans="1:5" ht="66" x14ac:dyDescent="0.25">
      <c r="A12" s="1112" t="s">
        <v>591</v>
      </c>
      <c r="B12" s="1186" t="s">
        <v>341</v>
      </c>
      <c r="C12" s="1078"/>
      <c r="D12" s="1027" t="s">
        <v>5</v>
      </c>
      <c r="E12" s="1120" t="s">
        <v>5</v>
      </c>
    </row>
    <row r="13" spans="1:5" ht="66" x14ac:dyDescent="0.25">
      <c r="A13" s="1142" t="s">
        <v>594</v>
      </c>
      <c r="B13" s="1064" t="s">
        <v>373</v>
      </c>
      <c r="C13" s="1079"/>
      <c r="D13" s="1028" t="s">
        <v>5</v>
      </c>
      <c r="E13" s="1121" t="s">
        <v>5</v>
      </c>
    </row>
    <row r="14" spans="1:5" ht="49.5" x14ac:dyDescent="0.25">
      <c r="A14" s="1143" t="s">
        <v>595</v>
      </c>
      <c r="B14" s="1157" t="s">
        <v>362</v>
      </c>
      <c r="C14" s="1080"/>
      <c r="D14" s="1029" t="s">
        <v>5</v>
      </c>
      <c r="E14" s="1122" t="s">
        <v>5</v>
      </c>
    </row>
    <row r="15" spans="1:5" ht="49.5" x14ac:dyDescent="0.25">
      <c r="A15" s="1144" t="s">
        <v>596</v>
      </c>
      <c r="B15" s="1065" t="s">
        <v>338</v>
      </c>
      <c r="C15" s="1082"/>
      <c r="D15" s="1030" t="s">
        <v>5</v>
      </c>
      <c r="E15" s="1123" t="s">
        <v>5</v>
      </c>
    </row>
    <row r="16" spans="1:5" ht="49.5" x14ac:dyDescent="0.25">
      <c r="A16" s="1166" t="s">
        <v>602</v>
      </c>
      <c r="B16" s="1066" t="s">
        <v>343</v>
      </c>
      <c r="C16" s="1083"/>
      <c r="D16" s="1031" t="s">
        <v>5</v>
      </c>
      <c r="E16" s="1124" t="s">
        <v>5</v>
      </c>
    </row>
    <row r="17" spans="1:5" ht="49.5" x14ac:dyDescent="0.25">
      <c r="A17" s="1145" t="s">
        <v>597</v>
      </c>
      <c r="B17" s="1067" t="s">
        <v>374</v>
      </c>
      <c r="C17" s="1084"/>
      <c r="D17" s="1032" t="s">
        <v>5</v>
      </c>
      <c r="E17" s="1125" t="s">
        <v>5</v>
      </c>
    </row>
    <row r="18" spans="1:5" ht="49.5" x14ac:dyDescent="0.25">
      <c r="A18" s="1041" t="s">
        <v>575</v>
      </c>
      <c r="B18" s="1060" t="s">
        <v>375</v>
      </c>
      <c r="C18" s="1085"/>
      <c r="D18" s="1033" t="s">
        <v>5</v>
      </c>
      <c r="E18" s="1126" t="s">
        <v>5</v>
      </c>
    </row>
    <row r="19" spans="1:5" ht="16.5" x14ac:dyDescent="0.25">
      <c r="A19" s="1013" t="s">
        <v>570</v>
      </c>
      <c r="B19" s="1014" t="s">
        <v>529</v>
      </c>
      <c r="C19" s="1015"/>
      <c r="D19" s="1016" t="s">
        <v>5</v>
      </c>
      <c r="E19" s="1017" t="s">
        <v>5</v>
      </c>
    </row>
    <row r="20" spans="1:5" ht="66" x14ac:dyDescent="0.25">
      <c r="A20" s="1042" t="s">
        <v>576</v>
      </c>
      <c r="B20" s="1159" t="s">
        <v>516</v>
      </c>
      <c r="C20" s="1086"/>
      <c r="D20" s="1034" t="s">
        <v>5</v>
      </c>
      <c r="E20" s="1127" t="s">
        <v>5</v>
      </c>
    </row>
    <row r="21" spans="1:5" ht="33" x14ac:dyDescent="0.25">
      <c r="A21" s="1043" t="s">
        <v>577</v>
      </c>
      <c r="B21" s="1061" t="s">
        <v>517</v>
      </c>
      <c r="C21" s="1087"/>
      <c r="D21" s="1035" t="s">
        <v>5</v>
      </c>
      <c r="E21" s="1128" t="s">
        <v>5</v>
      </c>
    </row>
    <row r="22" spans="1:5" ht="66" x14ac:dyDescent="0.25">
      <c r="A22" s="1044" t="s">
        <v>578</v>
      </c>
      <c r="B22" s="1068" t="s">
        <v>530</v>
      </c>
      <c r="C22" s="1088"/>
      <c r="D22" s="1100" t="s">
        <v>5</v>
      </c>
      <c r="E22" s="1129" t="s">
        <v>5</v>
      </c>
    </row>
    <row r="23" spans="1:5" ht="33" x14ac:dyDescent="0.25">
      <c r="A23" s="1045" t="s">
        <v>579</v>
      </c>
      <c r="B23" s="1062" t="s">
        <v>530</v>
      </c>
      <c r="C23" s="1089"/>
      <c r="D23" s="1101" t="s">
        <v>5</v>
      </c>
      <c r="E23" s="1130" t="s">
        <v>5</v>
      </c>
    </row>
    <row r="24" spans="1:5" ht="49.5" x14ac:dyDescent="0.25">
      <c r="A24" s="1055" t="s">
        <v>583</v>
      </c>
      <c r="B24" s="1160" t="s">
        <v>527</v>
      </c>
      <c r="C24" s="1090"/>
      <c r="D24" s="1102" t="s">
        <v>5</v>
      </c>
      <c r="E24" s="1131" t="s">
        <v>5</v>
      </c>
    </row>
    <row r="25" spans="1:5" ht="49.5" x14ac:dyDescent="0.25">
      <c r="A25" s="1167" t="s">
        <v>584</v>
      </c>
      <c r="B25" s="1063" t="s">
        <v>585</v>
      </c>
      <c r="C25" s="1091"/>
      <c r="D25" s="1103" t="s">
        <v>5</v>
      </c>
      <c r="E25" s="1132" t="s">
        <v>5</v>
      </c>
    </row>
    <row r="26" spans="1:5" ht="49.5" x14ac:dyDescent="0.25">
      <c r="A26" s="1073" t="s">
        <v>580</v>
      </c>
      <c r="B26" s="1048" t="s">
        <v>581</v>
      </c>
      <c r="C26" s="1092"/>
      <c r="D26" s="1104" t="s">
        <v>5</v>
      </c>
      <c r="E26" s="1133" t="s">
        <v>5</v>
      </c>
    </row>
    <row r="27" spans="1:5" ht="33" x14ac:dyDescent="0.25">
      <c r="A27" s="1113" t="s">
        <v>579</v>
      </c>
      <c r="B27" s="1069" t="s">
        <v>581</v>
      </c>
      <c r="C27" s="1093"/>
      <c r="D27" s="1105" t="s">
        <v>5</v>
      </c>
      <c r="E27" s="1134" t="s">
        <v>5</v>
      </c>
    </row>
    <row r="28" spans="1:5" ht="33" x14ac:dyDescent="0.25">
      <c r="A28" s="1076" t="s">
        <v>537</v>
      </c>
      <c r="B28" s="1187" t="s">
        <v>603</v>
      </c>
      <c r="C28" s="1094"/>
      <c r="D28" s="1106" t="s">
        <v>5</v>
      </c>
      <c r="E28" s="1135" t="s">
        <v>5</v>
      </c>
    </row>
    <row r="29" spans="1:5" ht="49.5" x14ac:dyDescent="0.25">
      <c r="A29" s="1074" t="s">
        <v>515</v>
      </c>
      <c r="B29" s="1188" t="s">
        <v>604</v>
      </c>
      <c r="C29" s="1095"/>
      <c r="D29" s="1107" t="s">
        <v>5</v>
      </c>
      <c r="E29" s="1136" t="s">
        <v>5</v>
      </c>
    </row>
    <row r="30" spans="1:5" ht="66" x14ac:dyDescent="0.25">
      <c r="A30" s="1075" t="s">
        <v>589</v>
      </c>
      <c r="B30" s="1189" t="s">
        <v>605</v>
      </c>
      <c r="C30" s="1096"/>
      <c r="D30" s="1108" t="s">
        <v>5</v>
      </c>
      <c r="E30" s="1137" t="s">
        <v>5</v>
      </c>
    </row>
    <row r="31" spans="1:5" ht="33" x14ac:dyDescent="0.25">
      <c r="A31" s="1146" t="s">
        <v>598</v>
      </c>
      <c r="B31" s="1161" t="s">
        <v>599</v>
      </c>
      <c r="C31" s="1097"/>
      <c r="D31" s="1109" t="s">
        <v>5</v>
      </c>
      <c r="E31" s="1138" t="s">
        <v>5</v>
      </c>
    </row>
    <row r="32" spans="1:5" ht="66" x14ac:dyDescent="0.25">
      <c r="A32" s="1046" t="s">
        <v>578</v>
      </c>
      <c r="B32" s="1190" t="s">
        <v>606</v>
      </c>
      <c r="C32" s="1098"/>
      <c r="D32" s="1110" t="s">
        <v>5</v>
      </c>
      <c r="E32" s="1139" t="s">
        <v>5</v>
      </c>
    </row>
    <row r="33" spans="1:5" ht="33" x14ac:dyDescent="0.25">
      <c r="A33" s="1168" t="s">
        <v>579</v>
      </c>
      <c r="B33" s="1191" t="s">
        <v>606</v>
      </c>
      <c r="C33" s="1099"/>
      <c r="D33" s="1148" t="s">
        <v>5</v>
      </c>
      <c r="E33" s="1172" t="s">
        <v>5</v>
      </c>
    </row>
    <row r="34" spans="1:5" ht="49.5" x14ac:dyDescent="0.25">
      <c r="A34" s="1058" t="s">
        <v>584</v>
      </c>
      <c r="B34" s="1140" t="s">
        <v>592</v>
      </c>
      <c r="C34" s="1053"/>
      <c r="D34" s="1149" t="s">
        <v>5</v>
      </c>
      <c r="E34" s="1173" t="s">
        <v>5</v>
      </c>
    </row>
    <row r="35" spans="1:5" ht="49.5" x14ac:dyDescent="0.25">
      <c r="A35" s="1169" t="s">
        <v>583</v>
      </c>
      <c r="B35" s="1049" t="s">
        <v>582</v>
      </c>
      <c r="C35" s="1081"/>
      <c r="D35" s="1150" t="s">
        <v>5</v>
      </c>
      <c r="E35" s="1174" t="s">
        <v>5</v>
      </c>
    </row>
    <row r="36" spans="1:5" ht="49.5" x14ac:dyDescent="0.25">
      <c r="A36" s="1047" t="s">
        <v>580</v>
      </c>
      <c r="B36" s="1050" t="s">
        <v>571</v>
      </c>
      <c r="C36" s="1054"/>
      <c r="D36" s="1151" t="s">
        <v>5</v>
      </c>
      <c r="E36" s="1175" t="s">
        <v>5</v>
      </c>
    </row>
    <row r="37" spans="1:5" ht="33" x14ac:dyDescent="0.25">
      <c r="A37" s="1170" t="s">
        <v>579</v>
      </c>
      <c r="B37" s="1036" t="s">
        <v>571</v>
      </c>
      <c r="C37" s="1057"/>
      <c r="D37" s="1152" t="s">
        <v>5</v>
      </c>
      <c r="E37" s="1176" t="s">
        <v>5</v>
      </c>
    </row>
    <row r="38" spans="1:5" ht="33" x14ac:dyDescent="0.25">
      <c r="A38" s="1171" t="s">
        <v>537</v>
      </c>
      <c r="B38" s="1141" t="s">
        <v>593</v>
      </c>
      <c r="C38" s="1018"/>
      <c r="D38" s="1153" t="s">
        <v>5</v>
      </c>
      <c r="E38" s="1177" t="s">
        <v>5</v>
      </c>
    </row>
    <row r="39" spans="1:5" ht="49.5" x14ac:dyDescent="0.25">
      <c r="A39" s="1156" t="s">
        <v>515</v>
      </c>
      <c r="B39" s="1070" t="s">
        <v>586</v>
      </c>
      <c r="C39" s="1019"/>
      <c r="D39" s="1154" t="s">
        <v>5</v>
      </c>
      <c r="E39" s="1178" t="s">
        <v>5</v>
      </c>
    </row>
  </sheetData>
  <mergeCells count="2">
    <mergeCell ref="A1:E1"/>
    <mergeCell ref="A2:E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4:E39"/>
  <sheetViews>
    <sheetView workbookViewId="0"/>
  </sheetViews>
  <sheetFormatPr defaultRowHeight="15" x14ac:dyDescent="0.25"/>
  <cols>
    <col min="1" max="1" width="1" style="435" bestFit="1" customWidth="1"/>
    <col min="2" max="5" width="1" bestFit="1" customWidth="1"/>
  </cols>
  <sheetData>
    <row r="4" spans="1:5" x14ac:dyDescent="0.25">
      <c r="A4" t="str">
        <f>CONCATENATE(664897,",",ROW(PLCTTHDMGUTCKHTT_06612!A4),"|",COLUMN(PLCTTHDMGUTCKHTT_06612!A4),",0",",0")</f>
        <v>664897,4|1,0,0</v>
      </c>
      <c r="B4" t="s">
        <v>5</v>
      </c>
      <c r="C4" t="str">
        <f>CONCATENATE(664804,",",ROW(PLCTTHDMGUTCKHTT_06612!C4),"|",COLUMN(PLCTTHDMGUTCKHTT_06612!C4),",0",",0")</f>
        <v>664804,4|3,0,0</v>
      </c>
      <c r="D4" t="str">
        <f>CONCATENATE(664941,",",ROW(PLCTTHDMGUTCKHTT_06612!D4),"|",COLUMN(PLCTTHDMGUTCKHTT_06612!D4),",0",",0")</f>
        <v>664941,4|4,0,0</v>
      </c>
      <c r="E4" t="str">
        <f>CONCATENATE(664966,",",ROW(PLCTTHDMGUTCKHTT_06612!E4),"|",COLUMN(PLCTTHDMGUTCKHTT_06612!E4),",0",",0")</f>
        <v>664966,4|5,0,0</v>
      </c>
    </row>
    <row r="5" spans="1:5" x14ac:dyDescent="0.25">
      <c r="A5" t="str">
        <f>CONCATENATE(664933,",",ROW(PLCTTHDMGUTCKHTT_06612!A5),"|",COLUMN(PLCTTHDMGUTCKHTT_06612!A5),",0",",0")</f>
        <v>664933,5|1,0,0</v>
      </c>
      <c r="B5" t="str">
        <f>CONCATENATE(664857,",",ROW(PLCTTHDMGUTCKHTT_06612!B5),"|",COLUMN(PLCTTHDMGUTCKHTT_06612!B5),",0",",0")</f>
        <v>664857,5|2,0,0</v>
      </c>
      <c r="C5" t="str">
        <f>CONCATENATE(664824,",",ROW(PLCTTHDMGUTCKHTT_06612!C5),"|",COLUMN(PLCTTHDMGUTCKHTT_06612!C5),",0",",0")</f>
        <v>664824,5|3,0,0</v>
      </c>
      <c r="D5" t="str">
        <f>CONCATENATE(664950,",",ROW(PLCTTHDMGUTCKHTT_06612!D5),"|",COLUMN(PLCTTHDMGUTCKHTT_06612!D5),",0",",0")</f>
        <v>664950,5|4,0,0</v>
      </c>
      <c r="E5" t="str">
        <f>CONCATENATE(664967,",",ROW(PLCTTHDMGUTCKHTT_06612!E5),"|",COLUMN(PLCTTHDMGUTCKHTT_06612!E5),",0",",0")</f>
        <v>664967,5|5,0,0</v>
      </c>
    </row>
    <row r="6" spans="1:5" x14ac:dyDescent="0.25">
      <c r="A6" t="str">
        <f>CONCATENATE(664951,",",ROW(PLCTTHDMGUTCKHTT_06612!A6),"|",COLUMN(PLCTTHDMGUTCKHTT_06612!A6),",0",",0")</f>
        <v>664951,6|1,0,0</v>
      </c>
      <c r="B6" t="str">
        <f>CONCATENATE(664845,",",ROW(PLCTTHDMGUTCKHTT_06612!B6),"|",COLUMN(PLCTTHDMGUTCKHTT_06612!B6),",0",",0")</f>
        <v>664845,6|2,0,0</v>
      </c>
      <c r="C6" t="str">
        <f>CONCATENATE(664969,",",ROW(PLCTTHDMGUTCKHTT_06612!C6),"|",COLUMN(PLCTTHDMGUTCKHTT_06612!C6),",0",",0")</f>
        <v>664969,6|3,0,0</v>
      </c>
      <c r="D6" t="str">
        <f>CONCATENATE(664806,",",ROW(PLCTTHDMGUTCKHTT_06612!D6),"|",COLUMN(PLCTTHDMGUTCKHTT_06612!D6),",0",",0")</f>
        <v>664806,6|4,0,0</v>
      </c>
      <c r="E6" t="str">
        <f>CONCATENATE(664900,",",ROW(PLCTTHDMGUTCKHTT_06612!E6),"|",COLUMN(PLCTTHDMGUTCKHTT_06612!E6),",0",",0")</f>
        <v>664900,6|5,0,0</v>
      </c>
    </row>
    <row r="7" spans="1:5" x14ac:dyDescent="0.25">
      <c r="A7" t="str">
        <f>CONCATENATE(664826,",",ROW(PLCTTHDMGUTCKHTT_06612!A7),"|",COLUMN(PLCTTHDMGUTCKHTT_06612!A7),",0",",0")</f>
        <v>664826,7|1,0,0</v>
      </c>
      <c r="B7" t="str">
        <f>CONCATENATE(664837,",",ROW(PLCTTHDMGUTCKHTT_06612!B7),"|",COLUMN(PLCTTHDMGUTCKHTT_06612!B7),",0",",0")</f>
        <v>664837,7|2,0,0</v>
      </c>
      <c r="C7" t="str">
        <f>CONCATENATE(664968,",",ROW(PLCTTHDMGUTCKHTT_06612!C7),"|",COLUMN(PLCTTHDMGUTCKHTT_06612!C7),",0",",0")</f>
        <v>664968,7|3,0,0</v>
      </c>
      <c r="D7" t="str">
        <f>CONCATENATE(664807,",",ROW(PLCTTHDMGUTCKHTT_06612!D7),"|",COLUMN(PLCTTHDMGUTCKHTT_06612!D7),",0",",0")</f>
        <v>664807,7|4,0,0</v>
      </c>
      <c r="E7" t="str">
        <f>CONCATENATE(664901,",",ROW(PLCTTHDMGUTCKHTT_06612!E7),"|",COLUMN(PLCTTHDMGUTCKHTT_06612!E7),",0",",0")</f>
        <v>664901,7|5,0,0</v>
      </c>
    </row>
    <row r="8" spans="1:5" x14ac:dyDescent="0.25">
      <c r="A8" t="str">
        <f>CONCATENATE(664822,",",ROW(PLCTTHDMGUTCKHTT_06612!A8),"|",COLUMN(PLCTTHDMGUTCKHTT_06612!A8),",0",",0")</f>
        <v>664822,8|1,0,0</v>
      </c>
      <c r="B8" t="str">
        <f>CONCATENATE(664842,",",ROW(PLCTTHDMGUTCKHTT_06612!B8),"|",COLUMN(PLCTTHDMGUTCKHTT_06612!B8),",0",",0")</f>
        <v>664842,8|2,0,0</v>
      </c>
      <c r="C8" t="str">
        <f>CONCATENATE(664970,",",ROW(PLCTTHDMGUTCKHTT_06612!C8),"|",COLUMN(PLCTTHDMGUTCKHTT_06612!C8),",0",",0")</f>
        <v>664970,8|3,0,0</v>
      </c>
      <c r="D8" t="str">
        <f>CONCATENATE(664808,",",ROW(PLCTTHDMGUTCKHTT_06612!D8),"|",COLUMN(PLCTTHDMGUTCKHTT_06612!D8),",0",",0")</f>
        <v>664808,8|4,0,0</v>
      </c>
      <c r="E8" t="str">
        <f>CONCATENATE(664902,",",ROW(PLCTTHDMGUTCKHTT_06612!E8),"|",COLUMN(PLCTTHDMGUTCKHTT_06612!E8),",0",",0")</f>
        <v>664902,8|5,0,0</v>
      </c>
    </row>
    <row r="9" spans="1:5" x14ac:dyDescent="0.25">
      <c r="A9" t="str">
        <f>CONCATENATE(664823,",",ROW(PLCTTHDMGUTCKHTT_06612!A9),"|",COLUMN(PLCTTHDMGUTCKHTT_06612!A9),",0",",0")</f>
        <v>664823,9|1,0,0</v>
      </c>
      <c r="B9" t="str">
        <f>CONCATENATE(664838,",",ROW(PLCTTHDMGUTCKHTT_06612!B9),"|",COLUMN(PLCTTHDMGUTCKHTT_06612!B9),",0",",0")</f>
        <v>664838,9|2,0,0</v>
      </c>
      <c r="C9" t="str">
        <f>CONCATENATE(664971,",",ROW(PLCTTHDMGUTCKHTT_06612!C9),"|",COLUMN(PLCTTHDMGUTCKHTT_06612!C9),",0",",0")</f>
        <v>664971,9|3,0,0</v>
      </c>
      <c r="D9" t="str">
        <f>CONCATENATE(664809,",",ROW(PLCTTHDMGUTCKHTT_06612!D9),"|",COLUMN(PLCTTHDMGUTCKHTT_06612!D9),",0",",0")</f>
        <v>664809,9|4,0,0</v>
      </c>
      <c r="E9" t="str">
        <f>CONCATENATE(664903,",",ROW(PLCTTHDMGUTCKHTT_06612!E9),"|",COLUMN(PLCTTHDMGUTCKHTT_06612!E9),",0",",0")</f>
        <v>664903,9|5,0,0</v>
      </c>
    </row>
    <row r="10" spans="1:5" x14ac:dyDescent="0.25">
      <c r="A10" t="str">
        <f>CONCATENATE(664952,",",ROW(PLCTTHDMGUTCKHTT_06612!A10),"|",COLUMN(PLCTTHDMGUTCKHTT_06612!A10),",0",",0")</f>
        <v>664952,10|1,0,0</v>
      </c>
      <c r="B10" t="str">
        <f>CONCATENATE(664945,",",ROW(PLCTTHDMGUTCKHTT_06612!B10),"|",COLUMN(PLCTTHDMGUTCKHTT_06612!B10),",0",",0")</f>
        <v>664945,10|2,0,0</v>
      </c>
      <c r="C10" t="str">
        <f>CONCATENATE(664972,",",ROW(PLCTTHDMGUTCKHTT_06612!C10),"|",COLUMN(PLCTTHDMGUTCKHTT_06612!C10),",0",",0")</f>
        <v>664972,10|3,0,0</v>
      </c>
      <c r="D10" t="str">
        <f>CONCATENATE(664810,",",ROW(PLCTTHDMGUTCKHTT_06612!D10),"|",COLUMN(PLCTTHDMGUTCKHTT_06612!D10),",0",",0")</f>
        <v>664810,10|4,0,0</v>
      </c>
      <c r="E10" t="str">
        <f>CONCATENATE(664904,",",ROW(PLCTTHDMGUTCKHTT_06612!E10),"|",COLUMN(PLCTTHDMGUTCKHTT_06612!E10),",0",",0")</f>
        <v>664904,10|5,0,0</v>
      </c>
    </row>
    <row r="11" spans="1:5" x14ac:dyDescent="0.25">
      <c r="A11" t="str">
        <f>CONCATENATE(664858,",",ROW(PLCTTHDMGUTCKHTT_06612!A11),"|",COLUMN(PLCTTHDMGUTCKHTT_06612!A11),",0",",0")</f>
        <v>664858,11|1,0,0</v>
      </c>
      <c r="B11" t="str">
        <f>CONCATENATE(664949,",",ROW(PLCTTHDMGUTCKHTT_06612!B11),"|",COLUMN(PLCTTHDMGUTCKHTT_06612!B11),",0",",0")</f>
        <v>664949,11|2,0,0</v>
      </c>
      <c r="C11" t="str">
        <f>CONCATENATE(664863,",",ROW(PLCTTHDMGUTCKHTT_06612!C11),"|",COLUMN(PLCTTHDMGUTCKHTT_06612!C11),",0",",0")</f>
        <v>664863,11|3,0,0</v>
      </c>
      <c r="D11" t="str">
        <f>CONCATENATE(664811,",",ROW(PLCTTHDMGUTCKHTT_06612!D11),"|",COLUMN(PLCTTHDMGUTCKHTT_06612!D11),",0",",0")</f>
        <v>664811,11|4,0,0</v>
      </c>
      <c r="E11" t="str">
        <f>CONCATENATE(664905,",",ROW(PLCTTHDMGUTCKHTT_06612!E11),"|",COLUMN(PLCTTHDMGUTCKHTT_06612!E11),",0",",0")</f>
        <v>664905,11|5,0,0</v>
      </c>
    </row>
    <row r="12" spans="1:5" x14ac:dyDescent="0.25">
      <c r="A12" t="str">
        <f>CONCATENATE(664898,",",ROW(PLCTTHDMGUTCKHTT_06612!A12),"|",COLUMN(PLCTTHDMGUTCKHTT_06612!A12),",0",",0")</f>
        <v>664898,12|1,0,0</v>
      </c>
      <c r="B12" t="str">
        <f>CONCATENATE(664973,",",ROW(PLCTTHDMGUTCKHTT_06612!B12),"|",COLUMN(PLCTTHDMGUTCKHTT_06612!B12),",0",",0")</f>
        <v>664973,12|2,0,0</v>
      </c>
      <c r="C12" t="str">
        <f>CONCATENATE(664864,",",ROW(PLCTTHDMGUTCKHTT_06612!C12),"|",COLUMN(PLCTTHDMGUTCKHTT_06612!C12),",0",",0")</f>
        <v>664864,12|3,0,0</v>
      </c>
      <c r="D12" t="str">
        <f>CONCATENATE(664812,",",ROW(PLCTTHDMGUTCKHTT_06612!D12),"|",COLUMN(PLCTTHDMGUTCKHTT_06612!D12),",0",",0")</f>
        <v>664812,12|4,0,0</v>
      </c>
      <c r="E12" t="str">
        <f>CONCATENATE(664906,",",ROW(PLCTTHDMGUTCKHTT_06612!E12),"|",COLUMN(PLCTTHDMGUTCKHTT_06612!E12),",0",",0")</f>
        <v>664906,12|5,0,0</v>
      </c>
    </row>
    <row r="13" spans="1:5" x14ac:dyDescent="0.25">
      <c r="A13" t="str">
        <f>CONCATENATE(664928,",",ROW(PLCTTHDMGUTCKHTT_06612!A13),"|",COLUMN(PLCTTHDMGUTCKHTT_06612!A13),",0",",0")</f>
        <v>664928,13|1,0,0</v>
      </c>
      <c r="B13" t="str">
        <f>CONCATENATE(664850,",",ROW(PLCTTHDMGUTCKHTT_06612!B13),"|",COLUMN(PLCTTHDMGUTCKHTT_06612!B13),",0",",0")</f>
        <v>664850,13|2,0,0</v>
      </c>
      <c r="C13" t="str">
        <f>CONCATENATE(664865,",",ROW(PLCTTHDMGUTCKHTT_06612!C13),"|",COLUMN(PLCTTHDMGUTCKHTT_06612!C13),",0",",0")</f>
        <v>664865,13|3,0,0</v>
      </c>
      <c r="D13" t="str">
        <f>CONCATENATE(664813,",",ROW(PLCTTHDMGUTCKHTT_06612!D13),"|",COLUMN(PLCTTHDMGUTCKHTT_06612!D13),",0",",0")</f>
        <v>664813,13|4,0,0</v>
      </c>
      <c r="E13" t="str">
        <f>CONCATENATE(664907,",",ROW(PLCTTHDMGUTCKHTT_06612!E13),"|",COLUMN(PLCTTHDMGUTCKHTT_06612!E13),",0",",0")</f>
        <v>664907,13|5,0,0</v>
      </c>
    </row>
    <row r="14" spans="1:5" x14ac:dyDescent="0.25">
      <c r="A14" t="str">
        <f>CONCATENATE(664929,",",ROW(PLCTTHDMGUTCKHTT_06612!A14),"|",COLUMN(PLCTTHDMGUTCKHTT_06612!A14),",0",",0")</f>
        <v>664929,14|1,0,0</v>
      </c>
      <c r="B14" t="str">
        <f>CONCATENATE(664944,",",ROW(PLCTTHDMGUTCKHTT_06612!B14),"|",COLUMN(PLCTTHDMGUTCKHTT_06612!B14),",0",",0")</f>
        <v>664944,14|2,0,0</v>
      </c>
      <c r="C14" t="str">
        <f>CONCATENATE(664866,",",ROW(PLCTTHDMGUTCKHTT_06612!C14),"|",COLUMN(PLCTTHDMGUTCKHTT_06612!C14),",0",",0")</f>
        <v>664866,14|3,0,0</v>
      </c>
      <c r="D14" t="str">
        <f>CONCATENATE(664814,",",ROW(PLCTTHDMGUTCKHTT_06612!D14),"|",COLUMN(PLCTTHDMGUTCKHTT_06612!D14),",0",",0")</f>
        <v>664814,14|4,0,0</v>
      </c>
      <c r="E14" t="str">
        <f>CONCATENATE(664908,",",ROW(PLCTTHDMGUTCKHTT_06612!E14),"|",COLUMN(PLCTTHDMGUTCKHTT_06612!E14),",0",",0")</f>
        <v>664908,14|5,0,0</v>
      </c>
    </row>
    <row r="15" spans="1:5" x14ac:dyDescent="0.25">
      <c r="A15" t="str">
        <f>CONCATENATE(664930,",",ROW(PLCTTHDMGUTCKHTT_06612!A15),"|",COLUMN(PLCTTHDMGUTCKHTT_06612!A15),",0",",0")</f>
        <v>664930,15|1,0,0</v>
      </c>
      <c r="B15" t="str">
        <f>CONCATENATE(664851,",",ROW(PLCTTHDMGUTCKHTT_06612!B15),"|",COLUMN(PLCTTHDMGUTCKHTT_06612!B15),",0",",0")</f>
        <v>664851,15|2,0,0</v>
      </c>
      <c r="C15" t="str">
        <f>CONCATENATE(664868,",",ROW(PLCTTHDMGUTCKHTT_06612!C15),"|",COLUMN(PLCTTHDMGUTCKHTT_06612!C15),",0",",0")</f>
        <v>664868,15|3,0,0</v>
      </c>
      <c r="D15" t="str">
        <f>CONCATENATE(664815,",",ROW(PLCTTHDMGUTCKHTT_06612!D15),"|",COLUMN(PLCTTHDMGUTCKHTT_06612!D15),",0",",0")</f>
        <v>664815,15|4,0,0</v>
      </c>
      <c r="E15" t="str">
        <f>CONCATENATE(664909,",",ROW(PLCTTHDMGUTCKHTT_06612!E15),"|",COLUMN(PLCTTHDMGUTCKHTT_06612!E15),",0",",0")</f>
        <v>664909,15|5,0,0</v>
      </c>
    </row>
    <row r="16" spans="1:5" x14ac:dyDescent="0.25">
      <c r="A16" t="str">
        <f>CONCATENATE(664953,",",ROW(PLCTTHDMGUTCKHTT_06612!A16),"|",COLUMN(PLCTTHDMGUTCKHTT_06612!A16),",0",",0")</f>
        <v>664953,16|1,0,0</v>
      </c>
      <c r="B16" t="str">
        <f>CONCATENATE(664852,",",ROW(PLCTTHDMGUTCKHTT_06612!B16),"|",COLUMN(PLCTTHDMGUTCKHTT_06612!B16),",0",",0")</f>
        <v>664852,16|2,0,0</v>
      </c>
      <c r="C16" t="str">
        <f>CONCATENATE(664869,",",ROW(PLCTTHDMGUTCKHTT_06612!C16),"|",COLUMN(PLCTTHDMGUTCKHTT_06612!C16),",0",",0")</f>
        <v>664869,16|3,0,0</v>
      </c>
      <c r="D16" t="str">
        <f>CONCATENATE(664816,",",ROW(PLCTTHDMGUTCKHTT_06612!D16),"|",COLUMN(PLCTTHDMGUTCKHTT_06612!D16),",0",",0")</f>
        <v>664816,16|4,0,0</v>
      </c>
      <c r="E16" t="str">
        <f>CONCATENATE(664910,",",ROW(PLCTTHDMGUTCKHTT_06612!E16),"|",COLUMN(PLCTTHDMGUTCKHTT_06612!E16),",0",",0")</f>
        <v>664910,16|5,0,0</v>
      </c>
    </row>
    <row r="17" spans="1:5" x14ac:dyDescent="0.25">
      <c r="A17" t="str">
        <f>CONCATENATE(664931,",",ROW(PLCTTHDMGUTCKHTT_06612!A17),"|",COLUMN(PLCTTHDMGUTCKHTT_06612!A17),",0",",0")</f>
        <v>664931,17|1,0,0</v>
      </c>
      <c r="B17" t="str">
        <f>CONCATENATE(664853,",",ROW(PLCTTHDMGUTCKHTT_06612!B17),"|",COLUMN(PLCTTHDMGUTCKHTT_06612!B17),",0",",0")</f>
        <v>664853,17|2,0,0</v>
      </c>
      <c r="C17" t="str">
        <f>CONCATENATE(664870,",",ROW(PLCTTHDMGUTCKHTT_06612!C17),"|",COLUMN(PLCTTHDMGUTCKHTT_06612!C17),",0",",0")</f>
        <v>664870,17|3,0,0</v>
      </c>
      <c r="D17" t="str">
        <f>CONCATENATE(664817,",",ROW(PLCTTHDMGUTCKHTT_06612!D17),"|",COLUMN(PLCTTHDMGUTCKHTT_06612!D17),",0",",0")</f>
        <v>664817,17|4,0,0</v>
      </c>
      <c r="E17" t="str">
        <f>CONCATENATE(664911,",",ROW(PLCTTHDMGUTCKHTT_06612!E17),"|",COLUMN(PLCTTHDMGUTCKHTT_06612!E17),",0",",0")</f>
        <v>664911,17|5,0,0</v>
      </c>
    </row>
    <row r="18" spans="1:5" x14ac:dyDescent="0.25">
      <c r="A18" t="str">
        <f>CONCATENATE(664827,",",ROW(PLCTTHDMGUTCKHTT_06612!A18),"|",COLUMN(PLCTTHDMGUTCKHTT_06612!A18),",0",",0")</f>
        <v>664827,18|1,0,0</v>
      </c>
      <c r="B18" t="str">
        <f>CONCATENATE(664846,",",ROW(PLCTTHDMGUTCKHTT_06612!B18),"|",COLUMN(PLCTTHDMGUTCKHTT_06612!B18),",0",",0")</f>
        <v>664846,18|2,0,0</v>
      </c>
      <c r="C18" t="str">
        <f>CONCATENATE(664871,",",ROW(PLCTTHDMGUTCKHTT_06612!C18),"|",COLUMN(PLCTTHDMGUTCKHTT_06612!C18),",0",",0")</f>
        <v>664871,18|3,0,0</v>
      </c>
      <c r="D18" t="str">
        <f>CONCATENATE(664818,",",ROW(PLCTTHDMGUTCKHTT_06612!D18),"|",COLUMN(PLCTTHDMGUTCKHTT_06612!D18),",0",",0")</f>
        <v>664818,18|4,0,0</v>
      </c>
      <c r="E18" t="str">
        <f>CONCATENATE(664912,",",ROW(PLCTTHDMGUTCKHTT_06612!E18),"|",COLUMN(PLCTTHDMGUTCKHTT_06612!E18),",0",",0")</f>
        <v>664912,18|5,0,0</v>
      </c>
    </row>
    <row r="19" spans="1:5" x14ac:dyDescent="0.25">
      <c r="A19" t="str">
        <f>CONCATENATE(664797,",",ROW(PLCTTHDMGUTCKHTT_06612!A19),"|",COLUMN(PLCTTHDMGUTCKHTT_06612!A19),",0",",0")</f>
        <v>664797,19|1,0,0</v>
      </c>
      <c r="B19" t="str">
        <f>CONCATENATE(664798,",",ROW(PLCTTHDMGUTCKHTT_06612!B19),"|",COLUMN(PLCTTHDMGUTCKHTT_06612!B19),",0",",0")</f>
        <v>664798,19|2,0,0</v>
      </c>
      <c r="C19" t="str">
        <f>CONCATENATE(664799,",",ROW(PLCTTHDMGUTCKHTT_06612!C19),"|",COLUMN(PLCTTHDMGUTCKHTT_06612!C19),",0",",0")</f>
        <v>664799,19|3,0,0</v>
      </c>
      <c r="D19" t="str">
        <f>CONCATENATE(664800,",",ROW(PLCTTHDMGUTCKHTT_06612!D19),"|",COLUMN(PLCTTHDMGUTCKHTT_06612!D19),",0",",0")</f>
        <v>664800,19|4,0,0</v>
      </c>
      <c r="E19" t="str">
        <f>CONCATENATE(664801,",",ROW(PLCTTHDMGUTCKHTT_06612!E19),"|",COLUMN(PLCTTHDMGUTCKHTT_06612!E19),",0",",0")</f>
        <v>664801,19|5,0,0</v>
      </c>
    </row>
    <row r="20" spans="1:5" x14ac:dyDescent="0.25">
      <c r="A20" t="str">
        <f>CONCATENATE(664828,",",ROW(PLCTTHDMGUTCKHTT_06612!A20),"|",COLUMN(PLCTTHDMGUTCKHTT_06612!A20),",0",",0")</f>
        <v>664828,20|1,0,0</v>
      </c>
      <c r="B20" t="str">
        <f>CONCATENATE(664946,",",ROW(PLCTTHDMGUTCKHTT_06612!B20),"|",COLUMN(PLCTTHDMGUTCKHTT_06612!B20),",0",",0")</f>
        <v>664946,20|2,0,0</v>
      </c>
      <c r="C20" t="str">
        <f>CONCATENATE(664872,",",ROW(PLCTTHDMGUTCKHTT_06612!C20),"|",COLUMN(PLCTTHDMGUTCKHTT_06612!C20),",0",",0")</f>
        <v>664872,20|3,0,0</v>
      </c>
      <c r="D20" t="str">
        <f>CONCATENATE(664819,",",ROW(PLCTTHDMGUTCKHTT_06612!D20),"|",COLUMN(PLCTTHDMGUTCKHTT_06612!D20),",0",",0")</f>
        <v>664819,20|4,0,0</v>
      </c>
      <c r="E20" t="str">
        <f>CONCATENATE(664913,",",ROW(PLCTTHDMGUTCKHTT_06612!E20),"|",COLUMN(PLCTTHDMGUTCKHTT_06612!E20),",0",",0")</f>
        <v>664913,20|5,0,0</v>
      </c>
    </row>
    <row r="21" spans="1:5" x14ac:dyDescent="0.25">
      <c r="A21" t="str">
        <f>CONCATENATE(664829,",",ROW(PLCTTHDMGUTCKHTT_06612!A21),"|",COLUMN(PLCTTHDMGUTCKHTT_06612!A21),",0",",0")</f>
        <v>664829,21|1,0,0</v>
      </c>
      <c r="B21" t="str">
        <f>CONCATENATE(664847,",",ROW(PLCTTHDMGUTCKHTT_06612!B21),"|",COLUMN(PLCTTHDMGUTCKHTT_06612!B21),",0",",0")</f>
        <v>664847,21|2,0,0</v>
      </c>
      <c r="C21" t="str">
        <f>CONCATENATE(664873,",",ROW(PLCTTHDMGUTCKHTT_06612!C21),"|",COLUMN(PLCTTHDMGUTCKHTT_06612!C21),",0",",0")</f>
        <v>664873,21|3,0,0</v>
      </c>
      <c r="D21" t="str">
        <f>CONCATENATE(664820,",",ROW(PLCTTHDMGUTCKHTT_06612!D21),"|",COLUMN(PLCTTHDMGUTCKHTT_06612!D21),",0",",0")</f>
        <v>664820,21|4,0,0</v>
      </c>
      <c r="E21" t="str">
        <f>CONCATENATE(664914,",",ROW(PLCTTHDMGUTCKHTT_06612!E21),"|",COLUMN(PLCTTHDMGUTCKHTT_06612!E21),",0",",0")</f>
        <v>664914,21|5,0,0</v>
      </c>
    </row>
    <row r="22" spans="1:5" x14ac:dyDescent="0.25">
      <c r="A22" t="str">
        <f>CONCATENATE(664830,",",ROW(PLCTTHDMGUTCKHTT_06612!A22),"|",COLUMN(PLCTTHDMGUTCKHTT_06612!A22),",0",",0")</f>
        <v>664830,22|1,0,0</v>
      </c>
      <c r="B22" t="str">
        <f>CONCATENATE(664854,",",ROW(PLCTTHDMGUTCKHTT_06612!B22),"|",COLUMN(PLCTTHDMGUTCKHTT_06612!B22),",0",",0")</f>
        <v>664854,22|2,0,0</v>
      </c>
      <c r="C22" t="str">
        <f>CONCATENATE(664874,",",ROW(PLCTTHDMGUTCKHTT_06612!C22),"|",COLUMN(PLCTTHDMGUTCKHTT_06612!C22),",0",",0")</f>
        <v>664874,22|3,0,0</v>
      </c>
      <c r="D22" t="str">
        <f>CONCATENATE(664886,",",ROW(PLCTTHDMGUTCKHTT_06612!D22),"|",COLUMN(PLCTTHDMGUTCKHTT_06612!D22),",0",",0")</f>
        <v>664886,22|4,0,0</v>
      </c>
      <c r="E22" t="str">
        <f>CONCATENATE(664915,",",ROW(PLCTTHDMGUTCKHTT_06612!E22),"|",COLUMN(PLCTTHDMGUTCKHTT_06612!E22),",0",",0")</f>
        <v>664915,22|5,0,0</v>
      </c>
    </row>
    <row r="23" spans="1:5" x14ac:dyDescent="0.25">
      <c r="A23" t="str">
        <f>CONCATENATE(664831,",",ROW(PLCTTHDMGUTCKHTT_06612!A23),"|",COLUMN(PLCTTHDMGUTCKHTT_06612!A23),",0",",0")</f>
        <v>664831,23|1,0,0</v>
      </c>
      <c r="B23" t="str">
        <f>CONCATENATE(664848,",",ROW(PLCTTHDMGUTCKHTT_06612!B23),"|",COLUMN(PLCTTHDMGUTCKHTT_06612!B23),",0",",0")</f>
        <v>664848,23|2,0,0</v>
      </c>
      <c r="C23" t="str">
        <f>CONCATENATE(664875,",",ROW(PLCTTHDMGUTCKHTT_06612!C23),"|",COLUMN(PLCTTHDMGUTCKHTT_06612!C23),",0",",0")</f>
        <v>664875,23|3,0,0</v>
      </c>
      <c r="D23" t="str">
        <f>CONCATENATE(664887,",",ROW(PLCTTHDMGUTCKHTT_06612!D23),"|",COLUMN(PLCTTHDMGUTCKHTT_06612!D23),",0",",0")</f>
        <v>664887,23|4,0,0</v>
      </c>
      <c r="E23" t="str">
        <f>CONCATENATE(664916,",",ROW(PLCTTHDMGUTCKHTT_06612!E23),"|",COLUMN(PLCTTHDMGUTCKHTT_06612!E23),",0",",0")</f>
        <v>664916,23|5,0,0</v>
      </c>
    </row>
    <row r="24" spans="1:5" x14ac:dyDescent="0.25">
      <c r="A24" t="str">
        <f>CONCATENATE(664841,",",ROW(PLCTTHDMGUTCKHTT_06612!A24),"|",COLUMN(PLCTTHDMGUTCKHTT_06612!A24),",0",",0")</f>
        <v>664841,24|1,0,0</v>
      </c>
      <c r="B24" t="str">
        <f>CONCATENATE(664947,",",ROW(PLCTTHDMGUTCKHTT_06612!B24),"|",COLUMN(PLCTTHDMGUTCKHTT_06612!B24),",0",",0")</f>
        <v>664947,24|2,0,0</v>
      </c>
      <c r="C24" t="str">
        <f>CONCATENATE(664876,",",ROW(PLCTTHDMGUTCKHTT_06612!C24),"|",COLUMN(PLCTTHDMGUTCKHTT_06612!C24),",0",",0")</f>
        <v>664876,24|3,0,0</v>
      </c>
      <c r="D24" t="str">
        <f>CONCATENATE(664888,",",ROW(PLCTTHDMGUTCKHTT_06612!D24),"|",COLUMN(PLCTTHDMGUTCKHTT_06612!D24),",0",",0")</f>
        <v>664888,24|4,0,0</v>
      </c>
      <c r="E24" t="str">
        <f>CONCATENATE(664917,",",ROW(PLCTTHDMGUTCKHTT_06612!E24),"|",COLUMN(PLCTTHDMGUTCKHTT_06612!E24),",0",",0")</f>
        <v>664917,24|5,0,0</v>
      </c>
    </row>
    <row r="25" spans="1:5" x14ac:dyDescent="0.25">
      <c r="A25" t="str">
        <f>CONCATENATE(664954,",",ROW(PLCTTHDMGUTCKHTT_06612!A25),"|",COLUMN(PLCTTHDMGUTCKHTT_06612!A25),",0",",0")</f>
        <v>664954,25|1,0,0</v>
      </c>
      <c r="B25" t="str">
        <f>CONCATENATE(664849,",",ROW(PLCTTHDMGUTCKHTT_06612!B25),"|",COLUMN(PLCTTHDMGUTCKHTT_06612!B25),",0",",0")</f>
        <v>664849,25|2,0,0</v>
      </c>
      <c r="C25" t="str">
        <f>CONCATENATE(664877,",",ROW(PLCTTHDMGUTCKHTT_06612!C25),"|",COLUMN(PLCTTHDMGUTCKHTT_06612!C25),",0",",0")</f>
        <v>664877,25|3,0,0</v>
      </c>
      <c r="D25" t="str">
        <f>CONCATENATE(664889,",",ROW(PLCTTHDMGUTCKHTT_06612!D25),"|",COLUMN(PLCTTHDMGUTCKHTT_06612!D25),",0",",0")</f>
        <v>664889,25|4,0,0</v>
      </c>
      <c r="E25" t="str">
        <f>CONCATENATE(664918,",",ROW(PLCTTHDMGUTCKHTT_06612!E25),"|",COLUMN(PLCTTHDMGUTCKHTT_06612!E25),",0",",0")</f>
        <v>664918,25|5,0,0</v>
      </c>
    </row>
    <row r="26" spans="1:5" x14ac:dyDescent="0.25">
      <c r="A26" t="str">
        <f>CONCATENATE(664859,",",ROW(PLCTTHDMGUTCKHTT_06612!A26),"|",COLUMN(PLCTTHDMGUTCKHTT_06612!A26),",0",",0")</f>
        <v>664859,26|1,0,0</v>
      </c>
      <c r="B26" t="str">
        <f>CONCATENATE(664834,",",ROW(PLCTTHDMGUTCKHTT_06612!B26),"|",COLUMN(PLCTTHDMGUTCKHTT_06612!B26),",0",",0")</f>
        <v>664834,26|2,0,0</v>
      </c>
      <c r="C26" t="str">
        <f>CONCATENATE(664878,",",ROW(PLCTTHDMGUTCKHTT_06612!C26),"|",COLUMN(PLCTTHDMGUTCKHTT_06612!C26),",0",",0")</f>
        <v>664878,26|3,0,0</v>
      </c>
      <c r="D26" t="str">
        <f>CONCATENATE(664890,",",ROW(PLCTTHDMGUTCKHTT_06612!D26),"|",COLUMN(PLCTTHDMGUTCKHTT_06612!D26),",0",",0")</f>
        <v>664890,26|4,0,0</v>
      </c>
      <c r="E26" t="str">
        <f>CONCATENATE(664919,",",ROW(PLCTTHDMGUTCKHTT_06612!E26),"|",COLUMN(PLCTTHDMGUTCKHTT_06612!E26),",0",",0")</f>
        <v>664919,26|5,0,0</v>
      </c>
    </row>
    <row r="27" spans="1:5" x14ac:dyDescent="0.25">
      <c r="A27" t="str">
        <f>CONCATENATE(664899,",",ROW(PLCTTHDMGUTCKHTT_06612!A27),"|",COLUMN(PLCTTHDMGUTCKHTT_06612!A27),",0",",0")</f>
        <v>664899,27|1,0,0</v>
      </c>
      <c r="B27" t="str">
        <f>CONCATENATE(664855,",",ROW(PLCTTHDMGUTCKHTT_06612!B27),"|",COLUMN(PLCTTHDMGUTCKHTT_06612!B27),",0",",0")</f>
        <v>664855,27|2,0,0</v>
      </c>
      <c r="C27" t="str">
        <f>CONCATENATE(664879,",",ROW(PLCTTHDMGUTCKHTT_06612!C27),"|",COLUMN(PLCTTHDMGUTCKHTT_06612!C27),",0",",0")</f>
        <v>664879,27|3,0,0</v>
      </c>
      <c r="D27" t="str">
        <f>CONCATENATE(664891,",",ROW(PLCTTHDMGUTCKHTT_06612!D27),"|",COLUMN(PLCTTHDMGUTCKHTT_06612!D27),",0",",0")</f>
        <v>664891,27|4,0,0</v>
      </c>
      <c r="E27" t="str">
        <f>CONCATENATE(664920,",",ROW(PLCTTHDMGUTCKHTT_06612!E27),"|",COLUMN(PLCTTHDMGUTCKHTT_06612!E27),",0",",0")</f>
        <v>664920,27|5,0,0</v>
      </c>
    </row>
    <row r="28" spans="1:5" x14ac:dyDescent="0.25">
      <c r="A28" t="str">
        <f>CONCATENATE(664862,",",ROW(PLCTTHDMGUTCKHTT_06612!A28),"|",COLUMN(PLCTTHDMGUTCKHTT_06612!A28),",0",",0")</f>
        <v>664862,28|1,0,0</v>
      </c>
      <c r="B28" t="str">
        <f>CONCATENATE(664974,",",ROW(PLCTTHDMGUTCKHTT_06612!B28),"|",COLUMN(PLCTTHDMGUTCKHTT_06612!B28),",0",",0")</f>
        <v>664974,28|2,0,0</v>
      </c>
      <c r="C28" t="str">
        <f>CONCATENATE(664880,",",ROW(PLCTTHDMGUTCKHTT_06612!C28),"|",COLUMN(PLCTTHDMGUTCKHTT_06612!C28),",0",",0")</f>
        <v>664880,28|3,0,0</v>
      </c>
      <c r="D28" t="str">
        <f>CONCATENATE(664892,",",ROW(PLCTTHDMGUTCKHTT_06612!D28),"|",COLUMN(PLCTTHDMGUTCKHTT_06612!D28),",0",",0")</f>
        <v>664892,28|4,0,0</v>
      </c>
      <c r="E28" t="str">
        <f>CONCATENATE(664921,",",ROW(PLCTTHDMGUTCKHTT_06612!E28),"|",COLUMN(PLCTTHDMGUTCKHTT_06612!E28),",0",",0")</f>
        <v>664921,28|5,0,0</v>
      </c>
    </row>
    <row r="29" spans="1:5" x14ac:dyDescent="0.25">
      <c r="A29" t="str">
        <f>CONCATENATE(664860,",",ROW(PLCTTHDMGUTCKHTT_06612!A29),"|",COLUMN(PLCTTHDMGUTCKHTT_06612!A29),",0",",0")</f>
        <v>664860,29|1,0,0</v>
      </c>
      <c r="B29" t="str">
        <f>CONCATENATE(664975,",",ROW(PLCTTHDMGUTCKHTT_06612!B29),"|",COLUMN(PLCTTHDMGUTCKHTT_06612!B29),",0",",0")</f>
        <v>664975,29|2,0,0</v>
      </c>
      <c r="C29" t="str">
        <f>CONCATENATE(664881,",",ROW(PLCTTHDMGUTCKHTT_06612!C29),"|",COLUMN(PLCTTHDMGUTCKHTT_06612!C29),",0",",0")</f>
        <v>664881,29|3,0,0</v>
      </c>
      <c r="D29" t="str">
        <f>CONCATENATE(664893,",",ROW(PLCTTHDMGUTCKHTT_06612!D29),"|",COLUMN(PLCTTHDMGUTCKHTT_06612!D29),",0",",0")</f>
        <v>664893,29|4,0,0</v>
      </c>
      <c r="E29" t="str">
        <f>CONCATENATE(664922,",",ROW(PLCTTHDMGUTCKHTT_06612!E29),"|",COLUMN(PLCTTHDMGUTCKHTT_06612!E29),",0",",0")</f>
        <v>664922,29|5,0,0</v>
      </c>
    </row>
    <row r="30" spans="1:5" x14ac:dyDescent="0.25">
      <c r="A30" t="str">
        <f>CONCATENATE(664861,",",ROW(PLCTTHDMGUTCKHTT_06612!A30),"|",COLUMN(PLCTTHDMGUTCKHTT_06612!A30),",0",",0")</f>
        <v>664861,30|1,0,0</v>
      </c>
      <c r="B30" t="str">
        <f>CONCATENATE(664976,",",ROW(PLCTTHDMGUTCKHTT_06612!B30),"|",COLUMN(PLCTTHDMGUTCKHTT_06612!B30),",0",",0")</f>
        <v>664976,30|2,0,0</v>
      </c>
      <c r="C30" t="str">
        <f>CONCATENATE(664882,",",ROW(PLCTTHDMGUTCKHTT_06612!C30),"|",COLUMN(PLCTTHDMGUTCKHTT_06612!C30),",0",",0")</f>
        <v>664882,30|3,0,0</v>
      </c>
      <c r="D30" t="str">
        <f>CONCATENATE(664894,",",ROW(PLCTTHDMGUTCKHTT_06612!D30),"|",COLUMN(PLCTTHDMGUTCKHTT_06612!D30),",0",",0")</f>
        <v>664894,30|4,0,0</v>
      </c>
      <c r="E30" t="str">
        <f>CONCATENATE(664923,",",ROW(PLCTTHDMGUTCKHTT_06612!E30),"|",COLUMN(PLCTTHDMGUTCKHTT_06612!E30),",0",",0")</f>
        <v>664923,30|5,0,0</v>
      </c>
    </row>
    <row r="31" spans="1:5" x14ac:dyDescent="0.25">
      <c r="A31" t="str">
        <f>CONCATENATE(664932,",",ROW(PLCTTHDMGUTCKHTT_06612!A31),"|",COLUMN(PLCTTHDMGUTCKHTT_06612!A31),",0",",0")</f>
        <v>664932,31|1,0,0</v>
      </c>
      <c r="B31" t="str">
        <f>CONCATENATE(664948,",",ROW(PLCTTHDMGUTCKHTT_06612!B31),"|",COLUMN(PLCTTHDMGUTCKHTT_06612!B31),",0",",0")</f>
        <v>664948,31|2,0,0</v>
      </c>
      <c r="C31" t="str">
        <f>CONCATENATE(664883,",",ROW(PLCTTHDMGUTCKHTT_06612!C31),"|",COLUMN(PLCTTHDMGUTCKHTT_06612!C31),",0",",0")</f>
        <v>664883,31|3,0,0</v>
      </c>
      <c r="D31" t="str">
        <f>CONCATENATE(664895,",",ROW(PLCTTHDMGUTCKHTT_06612!D31),"|",COLUMN(PLCTTHDMGUTCKHTT_06612!D31),",0",",0")</f>
        <v>664895,31|4,0,0</v>
      </c>
      <c r="E31" t="str">
        <f>CONCATENATE(664924,",",ROW(PLCTTHDMGUTCKHTT_06612!E31),"|",COLUMN(PLCTTHDMGUTCKHTT_06612!E31),",0",",0")</f>
        <v>664924,31|5,0,0</v>
      </c>
    </row>
    <row r="32" spans="1:5" x14ac:dyDescent="0.25">
      <c r="A32" t="str">
        <f>CONCATENATE(664832,",",ROW(PLCTTHDMGUTCKHTT_06612!A32),"|",COLUMN(PLCTTHDMGUTCKHTT_06612!A32),",0",",0")</f>
        <v>664832,32|1,0,0</v>
      </c>
      <c r="B32" t="str">
        <f>CONCATENATE(664977,",",ROW(PLCTTHDMGUTCKHTT_06612!B32),"|",COLUMN(PLCTTHDMGUTCKHTT_06612!B32),",0",",0")</f>
        <v>664977,32|2,0,0</v>
      </c>
      <c r="C32" t="str">
        <f>CONCATENATE(664884,",",ROW(PLCTTHDMGUTCKHTT_06612!C32),"|",COLUMN(PLCTTHDMGUTCKHTT_06612!C32),",0",",0")</f>
        <v>664884,32|3,0,0</v>
      </c>
      <c r="D32" t="str">
        <f>CONCATENATE(664896,",",ROW(PLCTTHDMGUTCKHTT_06612!D32),"|",COLUMN(PLCTTHDMGUTCKHTT_06612!D32),",0",",0")</f>
        <v>664896,32|4,0,0</v>
      </c>
      <c r="E32" t="str">
        <f>CONCATENATE(664925,",",ROW(PLCTTHDMGUTCKHTT_06612!E32),"|",COLUMN(PLCTTHDMGUTCKHTT_06612!E32),",0",",0")</f>
        <v>664925,32|5,0,0</v>
      </c>
    </row>
    <row r="33" spans="1:5" x14ac:dyDescent="0.25">
      <c r="A33" t="str">
        <f>CONCATENATE(664955,",",ROW(PLCTTHDMGUTCKHTT_06612!A33),"|",COLUMN(PLCTTHDMGUTCKHTT_06612!A33),",0",",0")</f>
        <v>664955,33|1,0,0</v>
      </c>
      <c r="B33" t="str">
        <f>CONCATENATE(664978,",",ROW(PLCTTHDMGUTCKHTT_06612!B33),"|",COLUMN(PLCTTHDMGUTCKHTT_06612!B33),",0",",0")</f>
        <v>664978,33|2,0,0</v>
      </c>
      <c r="C33" t="str">
        <f>CONCATENATE(664885,",",ROW(PLCTTHDMGUTCKHTT_06612!C33),"|",COLUMN(PLCTTHDMGUTCKHTT_06612!C33),",0",",0")</f>
        <v>664885,33|3,0,0</v>
      </c>
      <c r="D33" t="str">
        <f>CONCATENATE(664934,",",ROW(PLCTTHDMGUTCKHTT_06612!D33),"|",COLUMN(PLCTTHDMGUTCKHTT_06612!D33),",0",",0")</f>
        <v>664934,33|4,0,0</v>
      </c>
      <c r="E33" t="str">
        <f>CONCATENATE(664959,",",ROW(PLCTTHDMGUTCKHTT_06612!E33),"|",COLUMN(PLCTTHDMGUTCKHTT_06612!E33),",0",",0")</f>
        <v>664959,33|5,0,0</v>
      </c>
    </row>
    <row r="34" spans="1:5" x14ac:dyDescent="0.25">
      <c r="A34" t="str">
        <f>CONCATENATE(664844,",",ROW(PLCTTHDMGUTCKHTT_06612!A34),"|",COLUMN(PLCTTHDMGUTCKHTT_06612!A34),",0",",0")</f>
        <v>664844,34|1,0,0</v>
      </c>
      <c r="B34" t="str">
        <f>CONCATENATE(664926,",",ROW(PLCTTHDMGUTCKHTT_06612!B34),"|",COLUMN(PLCTTHDMGUTCKHTT_06612!B34),",0",",0")</f>
        <v>664926,34|2,0,0</v>
      </c>
      <c r="C34" t="str">
        <f>CONCATENATE(664839,",",ROW(PLCTTHDMGUTCKHTT_06612!C34),"|",COLUMN(PLCTTHDMGUTCKHTT_06612!C34),",0",",0")</f>
        <v>664839,34|3,0,0</v>
      </c>
      <c r="D34" t="str">
        <f>CONCATENATE(664935,",",ROW(PLCTTHDMGUTCKHTT_06612!D34),"|",COLUMN(PLCTTHDMGUTCKHTT_06612!D34),",0",",0")</f>
        <v>664935,34|4,0,0</v>
      </c>
      <c r="E34" t="str">
        <f>CONCATENATE(664960,",",ROW(PLCTTHDMGUTCKHTT_06612!E34),"|",COLUMN(PLCTTHDMGUTCKHTT_06612!E34),",0",",0")</f>
        <v>664960,34|5,0,0</v>
      </c>
    </row>
    <row r="35" spans="1:5" x14ac:dyDescent="0.25">
      <c r="A35" t="str">
        <f>CONCATENATE(664956,",",ROW(PLCTTHDMGUTCKHTT_06612!A35),"|",COLUMN(PLCTTHDMGUTCKHTT_06612!A35),",0",",0")</f>
        <v>664956,35|1,0,0</v>
      </c>
      <c r="B35" t="str">
        <f>CONCATENATE(664835,",",ROW(PLCTTHDMGUTCKHTT_06612!B35),"|",COLUMN(PLCTTHDMGUTCKHTT_06612!B35),",0",",0")</f>
        <v>664835,35|2,0,0</v>
      </c>
      <c r="C35" t="str">
        <f>CONCATENATE(664867,",",ROW(PLCTTHDMGUTCKHTT_06612!C35),"|",COLUMN(PLCTTHDMGUTCKHTT_06612!C35),",0",",0")</f>
        <v>664867,35|3,0,0</v>
      </c>
      <c r="D35" t="str">
        <f>CONCATENATE(664936,",",ROW(PLCTTHDMGUTCKHTT_06612!D35),"|",COLUMN(PLCTTHDMGUTCKHTT_06612!D35),",0",",0")</f>
        <v>664936,35|4,0,0</v>
      </c>
      <c r="E35" t="str">
        <f>CONCATENATE(664961,",",ROW(PLCTTHDMGUTCKHTT_06612!E35),"|",COLUMN(PLCTTHDMGUTCKHTT_06612!E35),",0",",0")</f>
        <v>664961,35|5,0,0</v>
      </c>
    </row>
    <row r="36" spans="1:5" x14ac:dyDescent="0.25">
      <c r="A36" t="str">
        <f>CONCATENATE(664833,",",ROW(PLCTTHDMGUTCKHTT_06612!A36),"|",COLUMN(PLCTTHDMGUTCKHTT_06612!A36),",0",",0")</f>
        <v>664833,36|1,0,0</v>
      </c>
      <c r="B36" t="str">
        <f>CONCATENATE(664836,",",ROW(PLCTTHDMGUTCKHTT_06612!B36),"|",COLUMN(PLCTTHDMGUTCKHTT_06612!B36),",0",",0")</f>
        <v>664836,36|2,0,0</v>
      </c>
      <c r="C36" t="str">
        <f>CONCATENATE(664840,",",ROW(PLCTTHDMGUTCKHTT_06612!C36),"|",COLUMN(PLCTTHDMGUTCKHTT_06612!C36),",0",",0")</f>
        <v>664840,36|3,0,0</v>
      </c>
      <c r="D36" t="str">
        <f>CONCATENATE(664937,",",ROW(PLCTTHDMGUTCKHTT_06612!D36),"|",COLUMN(PLCTTHDMGUTCKHTT_06612!D36),",0",",0")</f>
        <v>664937,36|4,0,0</v>
      </c>
      <c r="E36" t="str">
        <f>CONCATENATE(664962,",",ROW(PLCTTHDMGUTCKHTT_06612!E36),"|",COLUMN(PLCTTHDMGUTCKHTT_06612!E36),",0",",0")</f>
        <v>664962,36|5,0,0</v>
      </c>
    </row>
    <row r="37" spans="1:5" x14ac:dyDescent="0.25">
      <c r="A37" t="str">
        <f>CONCATENATE(664957,",",ROW(PLCTTHDMGUTCKHTT_06612!A37),"|",COLUMN(PLCTTHDMGUTCKHTT_06612!A37),",0",",0")</f>
        <v>664957,37|1,0,0</v>
      </c>
      <c r="B37" t="str">
        <f>CONCATENATE(664821,",",ROW(PLCTTHDMGUTCKHTT_06612!B37),"|",COLUMN(PLCTTHDMGUTCKHTT_06612!B37),",0",",0")</f>
        <v>664821,37|2,0,0</v>
      </c>
      <c r="C37" t="str">
        <f>CONCATENATE(664843,",",ROW(PLCTTHDMGUTCKHTT_06612!C37),"|",COLUMN(PLCTTHDMGUTCKHTT_06612!C37),",0",",0")</f>
        <v>664843,37|3,0,0</v>
      </c>
      <c r="D37" t="str">
        <f>CONCATENATE(664938,",",ROW(PLCTTHDMGUTCKHTT_06612!D37),"|",COLUMN(PLCTTHDMGUTCKHTT_06612!D37),",0",",0")</f>
        <v>664938,37|4,0,0</v>
      </c>
      <c r="E37" t="str">
        <f>CONCATENATE(664963,",",ROW(PLCTTHDMGUTCKHTT_06612!E37),"|",COLUMN(PLCTTHDMGUTCKHTT_06612!E37),",0",",0")</f>
        <v>664963,37|5,0,0</v>
      </c>
    </row>
    <row r="38" spans="1:5" x14ac:dyDescent="0.25">
      <c r="A38" t="str">
        <f>CONCATENATE(664958,",",ROW(PLCTTHDMGUTCKHTT_06612!A38),"|",COLUMN(PLCTTHDMGUTCKHTT_06612!A38),",0",",0")</f>
        <v>664958,38|1,0,0</v>
      </c>
      <c r="B38" t="str">
        <f>CONCATENATE(664927,",",ROW(PLCTTHDMGUTCKHTT_06612!B38),"|",COLUMN(PLCTTHDMGUTCKHTT_06612!B38),",0",",0")</f>
        <v>664927,38|2,0,0</v>
      </c>
      <c r="C38" t="str">
        <f>CONCATENATE(664802,",",ROW(PLCTTHDMGUTCKHTT_06612!C38),"|",COLUMN(PLCTTHDMGUTCKHTT_06612!C38),",0",",0")</f>
        <v>664802,38|3,0,0</v>
      </c>
      <c r="D38" t="str">
        <f>CONCATENATE(664939,",",ROW(PLCTTHDMGUTCKHTT_06612!D38),"|",COLUMN(PLCTTHDMGUTCKHTT_06612!D38),",0",",0")</f>
        <v>664939,38|4,0,0</v>
      </c>
      <c r="E38" t="str">
        <f>CONCATENATE(664964,",",ROW(PLCTTHDMGUTCKHTT_06612!E38),"|",COLUMN(PLCTTHDMGUTCKHTT_06612!E38),",0",",0")</f>
        <v>664964,38|5,0,0</v>
      </c>
    </row>
    <row r="39" spans="1:5" x14ac:dyDescent="0.25">
      <c r="A39" t="str">
        <f>CONCATENATE(664943,",",ROW(PLCTTHDMGUTCKHTT_06612!A39),"|",COLUMN(PLCTTHDMGUTCKHTT_06612!A39),",0",",0")</f>
        <v>664943,39|1,0,0</v>
      </c>
      <c r="B39" t="str">
        <f>CONCATENATE(664856,",",ROW(PLCTTHDMGUTCKHTT_06612!B39),"|",COLUMN(PLCTTHDMGUTCKHTT_06612!B39),",0",",0")</f>
        <v>664856,39|2,0,0</v>
      </c>
      <c r="C39" t="str">
        <f>CONCATENATE(664803,",",ROW(PLCTTHDMGUTCKHTT_06612!C39),"|",COLUMN(PLCTTHDMGUTCKHTT_06612!C39),",0",",0")</f>
        <v>664803,39|3,0,0</v>
      </c>
      <c r="D39" t="str">
        <f>CONCATENATE(664940,",",ROW(PLCTTHDMGUTCKHTT_06612!D39),"|",COLUMN(PLCTTHDMGUTCKHTT_06612!D39),",0",",0")</f>
        <v>664940,39|4,0,0</v>
      </c>
      <c r="E39" t="str">
        <f>CONCATENATE(664965,",",ROW(PLCTTHDMGUTCKHTT_06612!E39),"|",COLUMN(PLCTTHDMGUTCKHTT_06612!E39),",0",",0")</f>
        <v>664965,39|5,0,0</v>
      </c>
    </row>
  </sheetData>
  <sheetProtection password="CB7D" sheet="1" objects="1" scenario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80"/>
  <sheetViews>
    <sheetView workbookViewId="0">
      <selection activeCell="J10" sqref="J10"/>
    </sheetView>
  </sheetViews>
  <sheetFormatPr defaultRowHeight="15" x14ac:dyDescent="0.25"/>
  <cols>
    <col min="1" max="1" width="31.28515625" bestFit="1" customWidth="1"/>
    <col min="2" max="2" width="12.7109375" bestFit="1" customWidth="1"/>
    <col min="3" max="3" width="16.7109375" bestFit="1" customWidth="1"/>
    <col min="4" max="4" width="18.28515625" customWidth="1"/>
    <col min="5" max="5" width="17.85546875" customWidth="1"/>
  </cols>
  <sheetData>
    <row r="1" spans="1:5" ht="20.25" x14ac:dyDescent="0.3">
      <c r="A1" s="1622" t="s">
        <v>18</v>
      </c>
      <c r="B1" s="1622" t="s">
        <v>5</v>
      </c>
      <c r="C1" s="1622" t="s">
        <v>5</v>
      </c>
      <c r="D1" s="1622" t="s">
        <v>5</v>
      </c>
      <c r="E1" s="1622" t="s">
        <v>5</v>
      </c>
    </row>
    <row r="2" spans="1:5" ht="18.75" x14ac:dyDescent="0.3">
      <c r="A2" s="1623" t="s">
        <v>607</v>
      </c>
      <c r="B2" s="1623" t="s">
        <v>5</v>
      </c>
      <c r="C2" s="1623" t="s">
        <v>5</v>
      </c>
      <c r="D2" s="1623" t="s">
        <v>5</v>
      </c>
      <c r="E2" s="1623" t="s">
        <v>5</v>
      </c>
    </row>
    <row r="3" spans="1:5" ht="18.75" x14ac:dyDescent="0.3">
      <c r="A3" s="1623" t="s">
        <v>36</v>
      </c>
      <c r="B3" s="1623" t="s">
        <v>5</v>
      </c>
      <c r="C3" s="1623" t="s">
        <v>5</v>
      </c>
      <c r="D3" s="1623" t="s">
        <v>5</v>
      </c>
      <c r="E3" s="1623" t="s">
        <v>5</v>
      </c>
    </row>
    <row r="4" spans="1:5" ht="18.75" x14ac:dyDescent="0.25">
      <c r="A4" s="1193" t="s">
        <v>30</v>
      </c>
      <c r="B4" s="1193" t="s">
        <v>31</v>
      </c>
      <c r="C4" s="1193" t="s">
        <v>32</v>
      </c>
      <c r="D4" s="1193" t="s">
        <v>388</v>
      </c>
      <c r="E4" s="1193" t="s">
        <v>389</v>
      </c>
    </row>
    <row r="5" spans="1:5" ht="16.5" x14ac:dyDescent="0.25">
      <c r="A5" s="1384" t="s">
        <v>40</v>
      </c>
      <c r="B5" s="1293" t="s">
        <v>115</v>
      </c>
      <c r="C5" s="1385" t="s">
        <v>80</v>
      </c>
      <c r="D5" s="1386" t="s">
        <v>224</v>
      </c>
      <c r="E5" s="1313" t="s">
        <v>81</v>
      </c>
    </row>
    <row r="6" spans="1:5" ht="33" x14ac:dyDescent="0.25">
      <c r="A6" s="1294" t="s">
        <v>637</v>
      </c>
      <c r="B6" s="1330" t="s">
        <v>341</v>
      </c>
      <c r="C6" s="1390"/>
      <c r="D6" s="2116">
        <v>188127529</v>
      </c>
      <c r="E6" s="2117">
        <v>-1367376184</v>
      </c>
    </row>
    <row r="7" spans="1:5" ht="49.5" x14ac:dyDescent="0.25">
      <c r="A7" s="1251" t="s">
        <v>615</v>
      </c>
      <c r="B7" s="1329" t="s">
        <v>372</v>
      </c>
      <c r="C7" s="1302"/>
      <c r="D7" s="2118" t="s">
        <v>5</v>
      </c>
      <c r="E7" s="2119" t="s">
        <v>5</v>
      </c>
    </row>
    <row r="8" spans="1:5" ht="49.5" x14ac:dyDescent="0.25">
      <c r="A8" s="1387" t="s">
        <v>697</v>
      </c>
      <c r="B8" s="1311" t="s">
        <v>224</v>
      </c>
      <c r="C8" s="1246"/>
      <c r="D8" s="2120">
        <v>46195345907</v>
      </c>
      <c r="E8" s="2121">
        <v>9049540484</v>
      </c>
    </row>
    <row r="9" spans="1:5" ht="49.5" x14ac:dyDescent="0.25">
      <c r="A9" s="1315" t="s">
        <v>648</v>
      </c>
      <c r="B9" s="1373" t="s">
        <v>81</v>
      </c>
      <c r="C9" s="1247"/>
      <c r="D9" s="2122">
        <v>13234662860</v>
      </c>
      <c r="E9" s="2123">
        <v>26944050127</v>
      </c>
    </row>
    <row r="10" spans="1:5" ht="33" x14ac:dyDescent="0.25">
      <c r="A10" s="1250" t="s">
        <v>614</v>
      </c>
      <c r="B10" s="1312" t="s">
        <v>336</v>
      </c>
      <c r="C10" s="1248"/>
      <c r="D10" s="2124">
        <v>2527023860</v>
      </c>
      <c r="E10" s="2125">
        <v>3019647712</v>
      </c>
    </row>
    <row r="11" spans="1:5" ht="33" x14ac:dyDescent="0.25">
      <c r="A11" s="1350" t="s">
        <v>670</v>
      </c>
      <c r="B11" s="1328" t="s">
        <v>337</v>
      </c>
      <c r="C11" s="1249"/>
      <c r="D11" s="2126">
        <v>-2079179915</v>
      </c>
      <c r="E11" s="2127">
        <v>8245753419</v>
      </c>
    </row>
    <row r="12" spans="1:5" ht="33" x14ac:dyDescent="0.25">
      <c r="A12" s="1388" t="s">
        <v>698</v>
      </c>
      <c r="B12" s="1349" t="s">
        <v>340</v>
      </c>
      <c r="C12" s="1389"/>
      <c r="D12" s="2128">
        <v>12598691386</v>
      </c>
      <c r="E12" s="2129">
        <v>17046025180</v>
      </c>
    </row>
    <row r="13" spans="1:5" ht="49.5" x14ac:dyDescent="0.25">
      <c r="A13" s="1314" t="s">
        <v>541</v>
      </c>
      <c r="B13" s="1192" t="s">
        <v>5</v>
      </c>
      <c r="C13" s="1409"/>
      <c r="D13" s="2130" t="s">
        <v>5</v>
      </c>
      <c r="E13" s="2131" t="s">
        <v>5</v>
      </c>
    </row>
    <row r="14" spans="1:5" ht="33" x14ac:dyDescent="0.25">
      <c r="A14" s="1351" t="s">
        <v>671</v>
      </c>
      <c r="B14" s="1374" t="s">
        <v>373</v>
      </c>
      <c r="C14" s="1391"/>
      <c r="D14" s="2132" t="s">
        <v>5</v>
      </c>
      <c r="E14" s="2133" t="s">
        <v>5</v>
      </c>
    </row>
    <row r="15" spans="1:5" ht="33" x14ac:dyDescent="0.25">
      <c r="A15" s="1357" t="s">
        <v>677</v>
      </c>
      <c r="B15" s="1298" t="s">
        <v>362</v>
      </c>
      <c r="C15" s="1392"/>
      <c r="D15" s="2134" t="s">
        <v>5</v>
      </c>
      <c r="E15" s="2135" t="s">
        <v>5</v>
      </c>
    </row>
    <row r="16" spans="1:5" ht="49.5" x14ac:dyDescent="0.25">
      <c r="A16" s="1316" t="s">
        <v>649</v>
      </c>
      <c r="B16" s="1375" t="s">
        <v>338</v>
      </c>
      <c r="C16" s="1393"/>
      <c r="D16" s="2136">
        <v>183076446770</v>
      </c>
      <c r="E16" s="2137">
        <v>50888725737</v>
      </c>
    </row>
    <row r="17" spans="1:5" ht="66" x14ac:dyDescent="0.25">
      <c r="A17" s="1317" t="s">
        <v>650</v>
      </c>
      <c r="B17" s="1215" t="s">
        <v>343</v>
      </c>
      <c r="C17" s="1394"/>
      <c r="D17" s="2138">
        <v>183076446770</v>
      </c>
      <c r="E17" s="2139">
        <v>50888725737</v>
      </c>
    </row>
    <row r="18" spans="1:5" ht="49.5" x14ac:dyDescent="0.25">
      <c r="A18" s="1352" t="s">
        <v>672</v>
      </c>
      <c r="B18" s="1274" t="s">
        <v>375</v>
      </c>
      <c r="C18" s="1396"/>
      <c r="D18" s="2140" t="s">
        <v>5</v>
      </c>
      <c r="E18" s="2141" t="s">
        <v>5</v>
      </c>
    </row>
    <row r="19" spans="1:5" ht="66" x14ac:dyDescent="0.25">
      <c r="A19" s="1358" t="s">
        <v>678</v>
      </c>
      <c r="B19" s="1275" t="s">
        <v>374</v>
      </c>
      <c r="C19" s="1395"/>
      <c r="D19" s="2142" t="s">
        <v>5</v>
      </c>
      <c r="E19" s="2143" t="s">
        <v>5</v>
      </c>
    </row>
    <row r="20" spans="1:5" ht="82.5" x14ac:dyDescent="0.25">
      <c r="A20" s="1353" t="s">
        <v>673</v>
      </c>
      <c r="B20" s="1299" t="s">
        <v>639</v>
      </c>
      <c r="C20" s="1397"/>
      <c r="D20" s="2144" t="s">
        <v>5</v>
      </c>
      <c r="E20" s="2145" t="s">
        <v>5</v>
      </c>
    </row>
    <row r="21" spans="1:5" ht="49.5" x14ac:dyDescent="0.25">
      <c r="A21" s="1354" t="s">
        <v>674</v>
      </c>
      <c r="B21" s="1216" t="s">
        <v>609</v>
      </c>
      <c r="C21" s="1398"/>
      <c r="D21" s="2146" t="s">
        <v>5</v>
      </c>
      <c r="E21" s="2147" t="s">
        <v>5</v>
      </c>
    </row>
    <row r="22" spans="1:5" ht="66" x14ac:dyDescent="0.25">
      <c r="A22" s="1359" t="s">
        <v>679</v>
      </c>
      <c r="B22" s="1300" t="s">
        <v>640</v>
      </c>
      <c r="C22" s="1399"/>
      <c r="D22" s="2148" t="s">
        <v>5</v>
      </c>
      <c r="E22" s="2149" t="s">
        <v>5</v>
      </c>
    </row>
    <row r="23" spans="1:5" ht="33" x14ac:dyDescent="0.25">
      <c r="A23" s="1355" t="s">
        <v>675</v>
      </c>
      <c r="B23" s="1331" t="s">
        <v>660</v>
      </c>
      <c r="C23" s="1400"/>
      <c r="D23" s="2150" t="s">
        <v>5</v>
      </c>
      <c r="E23" s="2151" t="s">
        <v>5</v>
      </c>
    </row>
    <row r="24" spans="1:5" ht="49.5" x14ac:dyDescent="0.25">
      <c r="A24" s="1356" t="s">
        <v>676</v>
      </c>
      <c r="B24" s="1376" t="s">
        <v>690</v>
      </c>
      <c r="C24" s="1401"/>
      <c r="D24" s="2152">
        <v>-276885417627</v>
      </c>
      <c r="E24" s="2153">
        <v>-83829501844</v>
      </c>
    </row>
    <row r="25" spans="1:5" ht="66" x14ac:dyDescent="0.25">
      <c r="A25" s="1360" t="s">
        <v>680</v>
      </c>
      <c r="B25" s="1377" t="s">
        <v>691</v>
      </c>
      <c r="C25" s="1402"/>
      <c r="D25" s="2154">
        <v>-276885417627</v>
      </c>
      <c r="E25" s="2155">
        <v>-83829501844</v>
      </c>
    </row>
    <row r="26" spans="1:5" ht="82.5" x14ac:dyDescent="0.25">
      <c r="A26" s="1305" t="s">
        <v>643</v>
      </c>
      <c r="B26" s="1276" t="s">
        <v>529</v>
      </c>
      <c r="C26" s="1403"/>
      <c r="D26" s="2156" t="s">
        <v>5</v>
      </c>
      <c r="E26" s="2157" t="s">
        <v>5</v>
      </c>
    </row>
    <row r="27" spans="1:5" ht="33" x14ac:dyDescent="0.25">
      <c r="A27" s="1306" t="s">
        <v>644</v>
      </c>
      <c r="B27" s="1260" t="s">
        <v>339</v>
      </c>
      <c r="C27" s="1244"/>
      <c r="D27" s="2158" t="s">
        <v>5</v>
      </c>
      <c r="E27" s="2159" t="s">
        <v>5</v>
      </c>
    </row>
    <row r="28" spans="1:5" ht="66" x14ac:dyDescent="0.25">
      <c r="A28" s="1319" t="s">
        <v>652</v>
      </c>
      <c r="B28" s="1217" t="s">
        <v>516</v>
      </c>
      <c r="C28" s="1404"/>
      <c r="D28" s="2160">
        <v>17765716555</v>
      </c>
      <c r="E28" s="2161">
        <v>116510502601</v>
      </c>
    </row>
    <row r="29" spans="1:5" ht="66" x14ac:dyDescent="0.25">
      <c r="A29" s="1361" t="s">
        <v>681</v>
      </c>
      <c r="B29" s="1412" t="s">
        <v>517</v>
      </c>
      <c r="C29" s="1405"/>
      <c r="D29" s="2162">
        <v>-521639514183</v>
      </c>
      <c r="E29" s="2163">
        <v>81026566338</v>
      </c>
    </row>
    <row r="30" spans="1:5" ht="66" x14ac:dyDescent="0.25">
      <c r="A30" s="1346" t="s">
        <v>667</v>
      </c>
      <c r="B30" s="1277" t="s">
        <v>530</v>
      </c>
      <c r="C30" s="1415"/>
      <c r="D30" s="2164" t="s">
        <v>5</v>
      </c>
      <c r="E30" s="2165" t="s">
        <v>5</v>
      </c>
    </row>
    <row r="31" spans="1:5" ht="49.5" x14ac:dyDescent="0.25">
      <c r="A31" s="1347" t="s">
        <v>668</v>
      </c>
      <c r="B31" s="1332" t="s">
        <v>527</v>
      </c>
      <c r="C31" s="1416"/>
      <c r="D31" s="2166">
        <v>17437162167</v>
      </c>
      <c r="E31" s="2167">
        <v>80777213845</v>
      </c>
    </row>
    <row r="32" spans="1:5" ht="49.5" x14ac:dyDescent="0.25">
      <c r="A32" s="1295" t="s">
        <v>638</v>
      </c>
      <c r="B32" s="1301" t="s">
        <v>585</v>
      </c>
      <c r="C32" s="1406"/>
      <c r="D32" s="2168" t="s">
        <v>5</v>
      </c>
      <c r="E32" s="2169" t="s">
        <v>5</v>
      </c>
    </row>
    <row r="33" spans="1:5" ht="49.5" x14ac:dyDescent="0.25">
      <c r="A33" s="1252" t="s">
        <v>616</v>
      </c>
      <c r="B33" s="1261" t="s">
        <v>581</v>
      </c>
      <c r="C33" s="1245"/>
      <c r="D33" s="2170">
        <v>569830599928</v>
      </c>
      <c r="E33" s="2171">
        <v>-20970272555</v>
      </c>
    </row>
    <row r="34" spans="1:5" ht="66" x14ac:dyDescent="0.25">
      <c r="A34" s="1320" t="s">
        <v>653</v>
      </c>
      <c r="B34" s="1333" t="s">
        <v>603</v>
      </c>
      <c r="C34" s="1407"/>
      <c r="D34" s="2172">
        <v>-112194000</v>
      </c>
      <c r="E34" s="2173">
        <v>-82736315</v>
      </c>
    </row>
    <row r="35" spans="1:5" ht="66" x14ac:dyDescent="0.25">
      <c r="A35" s="1321" t="s">
        <v>654</v>
      </c>
      <c r="B35" s="1334" t="s">
        <v>604</v>
      </c>
      <c r="C35" s="1408"/>
      <c r="D35" s="2174">
        <v>-23749876</v>
      </c>
      <c r="E35" s="2175">
        <v>1369641290</v>
      </c>
    </row>
    <row r="36" spans="1:5" ht="66" x14ac:dyDescent="0.25">
      <c r="A36" s="1322" t="s">
        <v>655</v>
      </c>
      <c r="B36" s="1278" t="s">
        <v>628</v>
      </c>
      <c r="C36" s="1418"/>
      <c r="D36" s="2176" t="s">
        <v>5</v>
      </c>
      <c r="E36" s="2177" t="s">
        <v>5</v>
      </c>
    </row>
    <row r="37" spans="1:5" ht="49.5" x14ac:dyDescent="0.25">
      <c r="A37" s="1323" t="s">
        <v>656</v>
      </c>
      <c r="B37" s="1335" t="s">
        <v>661</v>
      </c>
      <c r="C37" s="1419"/>
      <c r="D37" s="2178">
        <v>-640320817</v>
      </c>
      <c r="E37" s="2179">
        <v>-88552388</v>
      </c>
    </row>
    <row r="38" spans="1:5" ht="33" x14ac:dyDescent="0.25">
      <c r="A38" s="1348" t="s">
        <v>669</v>
      </c>
      <c r="B38" s="1218" t="s">
        <v>605</v>
      </c>
      <c r="C38" s="1417"/>
      <c r="D38" s="2180">
        <v>844464607</v>
      </c>
      <c r="E38" s="2181">
        <v>3198777833</v>
      </c>
    </row>
    <row r="39" spans="1:5" ht="66" x14ac:dyDescent="0.25">
      <c r="A39" s="1253" t="s">
        <v>617</v>
      </c>
      <c r="B39" s="1336" t="s">
        <v>599</v>
      </c>
      <c r="C39" s="1420"/>
      <c r="D39" s="2182">
        <v>-594270049</v>
      </c>
      <c r="E39" s="2183">
        <v>-11281887592</v>
      </c>
    </row>
    <row r="40" spans="1:5" ht="49.5" x14ac:dyDescent="0.25">
      <c r="A40" s="1362" t="s">
        <v>682</v>
      </c>
      <c r="B40" s="1262" t="s">
        <v>606</v>
      </c>
      <c r="C40" s="1194"/>
      <c r="D40" s="2184">
        <v>-1337484503</v>
      </c>
      <c r="E40" s="2185">
        <v>1359383336</v>
      </c>
    </row>
    <row r="41" spans="1:5" ht="33" x14ac:dyDescent="0.25">
      <c r="A41" s="1307" t="s">
        <v>645</v>
      </c>
      <c r="B41" s="1366" t="s">
        <v>592</v>
      </c>
      <c r="C41" s="1195"/>
      <c r="D41" s="2186" t="s">
        <v>5</v>
      </c>
      <c r="E41" s="2187" t="s">
        <v>5</v>
      </c>
    </row>
    <row r="42" spans="1:5" ht="33" x14ac:dyDescent="0.25">
      <c r="A42" s="1254" t="s">
        <v>618</v>
      </c>
      <c r="B42" s="1279" t="s">
        <v>582</v>
      </c>
      <c r="C42" s="1196"/>
      <c r="D42" s="2188">
        <v>-16431364250</v>
      </c>
      <c r="E42" s="2189">
        <v>-17927430526</v>
      </c>
    </row>
    <row r="43" spans="1:5" ht="49.5" x14ac:dyDescent="0.25">
      <c r="A43" s="1363" t="s">
        <v>683</v>
      </c>
      <c r="B43" s="1337" t="s">
        <v>571</v>
      </c>
      <c r="C43" s="1197"/>
      <c r="D43" s="2190">
        <v>-28643369854</v>
      </c>
      <c r="E43" s="2191">
        <v>-119999256</v>
      </c>
    </row>
    <row r="44" spans="1:5" ht="49.5" x14ac:dyDescent="0.25">
      <c r="A44" s="1364" t="s">
        <v>684</v>
      </c>
      <c r="B44" s="1367" t="s">
        <v>593</v>
      </c>
      <c r="C44" s="1198"/>
      <c r="D44" s="2192">
        <v>-201201500</v>
      </c>
      <c r="E44" s="2193">
        <v>35009601</v>
      </c>
    </row>
    <row r="45" spans="1:5" ht="82.5" x14ac:dyDescent="0.25">
      <c r="A45" s="1324" t="s">
        <v>657</v>
      </c>
      <c r="B45" s="1338" t="s">
        <v>586</v>
      </c>
      <c r="C45" s="1199"/>
      <c r="D45" s="2194">
        <v>-4477978</v>
      </c>
      <c r="E45" s="2195">
        <v>-657700767</v>
      </c>
    </row>
    <row r="46" spans="1:5" ht="49.5" x14ac:dyDescent="0.25">
      <c r="A46" s="1255" t="s">
        <v>619</v>
      </c>
      <c r="B46" s="1280" t="s">
        <v>629</v>
      </c>
      <c r="C46" s="1200"/>
      <c r="D46" s="2196">
        <v>340124863</v>
      </c>
      <c r="E46" s="2197">
        <v>-126854512</v>
      </c>
    </row>
    <row r="47" spans="1:5" ht="49.5" x14ac:dyDescent="0.25">
      <c r="A47" s="1342" t="s">
        <v>665</v>
      </c>
      <c r="B47" s="1339" t="s">
        <v>662</v>
      </c>
      <c r="C47" s="1201"/>
      <c r="D47" s="2198" t="s">
        <v>5</v>
      </c>
      <c r="E47" s="2199" t="s">
        <v>5</v>
      </c>
    </row>
    <row r="48" spans="1:5" ht="49.5" x14ac:dyDescent="0.25">
      <c r="A48" s="1256" t="s">
        <v>620</v>
      </c>
      <c r="B48" s="1281" t="s">
        <v>523</v>
      </c>
      <c r="C48" s="1202"/>
      <c r="D48" s="2200">
        <v>-154634023</v>
      </c>
      <c r="E48" s="2201">
        <v>-39347020</v>
      </c>
    </row>
    <row r="49" spans="1:5" ht="49.5" x14ac:dyDescent="0.25">
      <c r="A49" s="1325" t="s">
        <v>658</v>
      </c>
      <c r="B49" s="1263" t="s">
        <v>623</v>
      </c>
      <c r="C49" s="1203"/>
      <c r="D49" s="2202"/>
      <c r="E49" s="2203">
        <v>605050000</v>
      </c>
    </row>
    <row r="50" spans="1:5" ht="49.5" x14ac:dyDescent="0.25">
      <c r="A50" s="1369" t="s">
        <v>686</v>
      </c>
      <c r="B50" s="1378" t="s">
        <v>692</v>
      </c>
      <c r="C50" s="1204"/>
      <c r="D50" s="2204">
        <v>-904053977</v>
      </c>
      <c r="E50" s="2205">
        <v>-566358711</v>
      </c>
    </row>
    <row r="51" spans="1:5" ht="51.75" x14ac:dyDescent="0.25">
      <c r="A51" s="1267" t="s">
        <v>511</v>
      </c>
      <c r="B51" s="1379" t="s">
        <v>520</v>
      </c>
      <c r="C51" s="1205"/>
      <c r="D51" s="2206">
        <v>-16613245535</v>
      </c>
      <c r="E51" s="2207">
        <v>119563317105</v>
      </c>
    </row>
    <row r="52" spans="1:5" ht="49.5" x14ac:dyDescent="0.25">
      <c r="A52" s="1343" t="s">
        <v>566</v>
      </c>
      <c r="B52" s="1192" t="s">
        <v>5</v>
      </c>
      <c r="C52" s="1206"/>
      <c r="D52" s="2208" t="s">
        <v>5</v>
      </c>
      <c r="E52" s="2209" t="s">
        <v>5</v>
      </c>
    </row>
    <row r="53" spans="1:5" ht="66" x14ac:dyDescent="0.25">
      <c r="A53" s="1370" t="s">
        <v>687</v>
      </c>
      <c r="B53" s="1219" t="s">
        <v>524</v>
      </c>
      <c r="C53" s="1207"/>
      <c r="D53" s="2210">
        <v>0</v>
      </c>
      <c r="E53" s="2211">
        <v>-277891455</v>
      </c>
    </row>
    <row r="54" spans="1:5" ht="66" x14ac:dyDescent="0.25">
      <c r="A54" s="1257" t="s">
        <v>621</v>
      </c>
      <c r="B54" s="1220" t="s">
        <v>610</v>
      </c>
      <c r="C54" s="1208"/>
      <c r="D54" s="2212">
        <v>1253636364</v>
      </c>
      <c r="E54" s="2213">
        <v>786797868</v>
      </c>
    </row>
    <row r="55" spans="1:5" ht="66" x14ac:dyDescent="0.25">
      <c r="A55" s="1326" t="s">
        <v>659</v>
      </c>
      <c r="B55" s="1340" t="s">
        <v>663</v>
      </c>
      <c r="C55" s="1209"/>
      <c r="D55" s="2214" t="s">
        <v>5</v>
      </c>
      <c r="E55" s="2215" t="s">
        <v>5</v>
      </c>
    </row>
    <row r="56" spans="1:5" ht="82.5" x14ac:dyDescent="0.25">
      <c r="A56" s="1304" t="s">
        <v>642</v>
      </c>
      <c r="B56" s="1380" t="s">
        <v>693</v>
      </c>
      <c r="C56" s="1210"/>
      <c r="D56" s="2216" t="s">
        <v>5</v>
      </c>
      <c r="E56" s="2217" t="s">
        <v>5</v>
      </c>
    </row>
    <row r="57" spans="1:5" ht="66" x14ac:dyDescent="0.25">
      <c r="A57" s="1308" t="s">
        <v>646</v>
      </c>
      <c r="B57" s="1381" t="s">
        <v>694</v>
      </c>
      <c r="C57" s="1211"/>
      <c r="D57" s="2218">
        <v>138832690</v>
      </c>
      <c r="E57" s="2219">
        <v>1410756318</v>
      </c>
    </row>
    <row r="58" spans="1:5" ht="51.75" x14ac:dyDescent="0.25">
      <c r="A58" s="1258" t="s">
        <v>533</v>
      </c>
      <c r="B58" s="1282" t="s">
        <v>630</v>
      </c>
      <c r="C58" s="1212"/>
      <c r="D58" s="2220">
        <v>1392469054</v>
      </c>
      <c r="E58" s="2221">
        <v>1919662731</v>
      </c>
    </row>
    <row r="59" spans="1:5" ht="49.5" x14ac:dyDescent="0.25">
      <c r="A59" s="1289" t="s">
        <v>543</v>
      </c>
      <c r="B59" s="1192" t="s">
        <v>5</v>
      </c>
      <c r="C59" s="1213"/>
      <c r="D59" s="2222" t="s">
        <v>5</v>
      </c>
      <c r="E59" s="2223" t="s">
        <v>5</v>
      </c>
    </row>
    <row r="60" spans="1:5" ht="66" x14ac:dyDescent="0.25">
      <c r="A60" s="1290" t="s">
        <v>512</v>
      </c>
      <c r="B60" s="1341" t="s">
        <v>664</v>
      </c>
      <c r="C60" s="1225"/>
      <c r="D60" s="2224" t="s">
        <v>5</v>
      </c>
      <c r="E60" s="2225" t="s">
        <v>5</v>
      </c>
    </row>
    <row r="61" spans="1:5" ht="66" x14ac:dyDescent="0.25">
      <c r="A61" s="1268" t="s">
        <v>626</v>
      </c>
      <c r="B61" s="1221" t="s">
        <v>559</v>
      </c>
      <c r="C61" s="1226"/>
      <c r="D61" s="2226" t="s">
        <v>5</v>
      </c>
      <c r="E61" s="2227" t="s">
        <v>5</v>
      </c>
    </row>
    <row r="62" spans="1:5" ht="33" x14ac:dyDescent="0.25">
      <c r="A62" s="1371" t="s">
        <v>688</v>
      </c>
      <c r="B62" s="1264" t="s">
        <v>560</v>
      </c>
      <c r="C62" s="1227"/>
      <c r="D62" s="2228">
        <v>219017845000</v>
      </c>
      <c r="E62" s="2229">
        <v>949388791683</v>
      </c>
    </row>
    <row r="63" spans="1:5" ht="49.5" x14ac:dyDescent="0.25">
      <c r="A63" s="1309" t="s">
        <v>548</v>
      </c>
      <c r="B63" s="1222" t="s">
        <v>611</v>
      </c>
      <c r="C63" s="1228"/>
      <c r="D63" s="2230" t="s">
        <v>5</v>
      </c>
      <c r="E63" s="2231" t="s">
        <v>5</v>
      </c>
    </row>
    <row r="64" spans="1:5" ht="33" x14ac:dyDescent="0.25">
      <c r="A64" s="1269" t="s">
        <v>534</v>
      </c>
      <c r="B64" s="1382" t="s">
        <v>695</v>
      </c>
      <c r="C64" s="1229"/>
      <c r="D64" s="2232">
        <v>219017845000</v>
      </c>
      <c r="E64" s="2233">
        <v>949388791683</v>
      </c>
    </row>
    <row r="65" spans="1:5" ht="33" x14ac:dyDescent="0.25">
      <c r="A65" s="1270" t="s">
        <v>514</v>
      </c>
      <c r="B65" s="1368" t="s">
        <v>685</v>
      </c>
      <c r="C65" s="1230"/>
      <c r="D65" s="2234">
        <v>-270661995000</v>
      </c>
      <c r="E65" s="2235">
        <v>-1081359048835</v>
      </c>
    </row>
    <row r="66" spans="1:5" ht="49.5" x14ac:dyDescent="0.25">
      <c r="A66" s="1271" t="s">
        <v>539</v>
      </c>
      <c r="B66" s="1283" t="s">
        <v>631</v>
      </c>
      <c r="C66" s="1231"/>
      <c r="D66" s="2236" t="s">
        <v>5</v>
      </c>
      <c r="E66" s="2237" t="s">
        <v>5</v>
      </c>
    </row>
    <row r="67" spans="1:5" ht="49.5" x14ac:dyDescent="0.25">
      <c r="A67" s="1272" t="s">
        <v>627</v>
      </c>
      <c r="B67" s="1223" t="s">
        <v>612</v>
      </c>
      <c r="C67" s="1232"/>
      <c r="D67" s="2238" t="s">
        <v>5</v>
      </c>
      <c r="E67" s="2239" t="s">
        <v>5</v>
      </c>
    </row>
    <row r="68" spans="1:5" ht="33" x14ac:dyDescent="0.25">
      <c r="A68" s="1344" t="s">
        <v>550</v>
      </c>
      <c r="B68" s="1318" t="s">
        <v>651</v>
      </c>
      <c r="C68" s="1233"/>
      <c r="D68" s="2240">
        <v>-270661995000</v>
      </c>
      <c r="E68" s="2241">
        <v>-1081359048835</v>
      </c>
    </row>
    <row r="69" spans="1:5" ht="49.5" x14ac:dyDescent="0.25">
      <c r="A69" s="1372" t="s">
        <v>689</v>
      </c>
      <c r="B69" s="1383" t="s">
        <v>696</v>
      </c>
      <c r="C69" s="1234"/>
      <c r="D69" s="2242" t="s">
        <v>5</v>
      </c>
      <c r="E69" s="2243" t="s">
        <v>5</v>
      </c>
    </row>
    <row r="70" spans="1:5" ht="49.5" x14ac:dyDescent="0.25">
      <c r="A70" s="1327" t="s">
        <v>540</v>
      </c>
      <c r="B70" s="1265" t="s">
        <v>624</v>
      </c>
      <c r="C70" s="1235"/>
      <c r="D70" s="2244" t="s">
        <v>5</v>
      </c>
      <c r="E70" s="2245" t="s">
        <v>5</v>
      </c>
    </row>
    <row r="71" spans="1:5" ht="51.75" x14ac:dyDescent="0.25">
      <c r="A71" s="1273" t="s">
        <v>555</v>
      </c>
      <c r="B71" s="1284" t="s">
        <v>502</v>
      </c>
      <c r="C71" s="1236"/>
      <c r="D71" s="2246">
        <v>-51644150000</v>
      </c>
      <c r="E71" s="2247">
        <v>-131970257152</v>
      </c>
    </row>
    <row r="72" spans="1:5" ht="49.5" x14ac:dyDescent="0.25">
      <c r="A72" s="1296" t="s">
        <v>535</v>
      </c>
      <c r="B72" s="1285" t="s">
        <v>632</v>
      </c>
      <c r="C72" s="1237"/>
      <c r="D72" s="2248">
        <v>-66864926481</v>
      </c>
      <c r="E72" s="2249">
        <v>-10487277316</v>
      </c>
    </row>
    <row r="73" spans="1:5" ht="49.5" x14ac:dyDescent="0.25">
      <c r="A73" s="1297" t="s">
        <v>536</v>
      </c>
      <c r="B73" s="1286" t="s">
        <v>633</v>
      </c>
      <c r="C73" s="1238"/>
      <c r="D73" s="2250">
        <v>138223648674</v>
      </c>
      <c r="E73" s="2251">
        <v>108953346950</v>
      </c>
    </row>
    <row r="74" spans="1:5" ht="33" x14ac:dyDescent="0.25">
      <c r="A74" s="1291" t="s">
        <v>622</v>
      </c>
      <c r="B74" s="1224" t="s">
        <v>613</v>
      </c>
      <c r="C74" s="1239"/>
      <c r="D74" s="2252">
        <v>138223648674</v>
      </c>
      <c r="E74" s="2253">
        <v>108953346950</v>
      </c>
    </row>
    <row r="75" spans="1:5" ht="33" x14ac:dyDescent="0.25">
      <c r="A75" s="1310" t="s">
        <v>647</v>
      </c>
      <c r="B75" s="1266" t="s">
        <v>625</v>
      </c>
      <c r="C75" s="1240"/>
      <c r="D75" s="2254" t="s">
        <v>5</v>
      </c>
      <c r="E75" s="2255" t="s">
        <v>5</v>
      </c>
    </row>
    <row r="76" spans="1:5" ht="33" x14ac:dyDescent="0.25">
      <c r="A76" s="1214" t="s">
        <v>608</v>
      </c>
      <c r="B76" s="1345" t="s">
        <v>666</v>
      </c>
      <c r="C76" s="1242"/>
      <c r="D76" s="2256" t="s">
        <v>5</v>
      </c>
      <c r="E76" s="2257" t="s">
        <v>5</v>
      </c>
    </row>
    <row r="77" spans="1:5" ht="49.5" x14ac:dyDescent="0.25">
      <c r="A77" s="1292" t="s">
        <v>636</v>
      </c>
      <c r="B77" s="1288" t="s">
        <v>635</v>
      </c>
      <c r="C77" s="1243"/>
      <c r="D77" s="2258">
        <v>71358722193</v>
      </c>
      <c r="E77" s="2259">
        <v>98466069634</v>
      </c>
    </row>
    <row r="78" spans="1:5" ht="33" x14ac:dyDescent="0.25">
      <c r="A78" s="1259" t="s">
        <v>622</v>
      </c>
      <c r="B78" s="1287" t="s">
        <v>634</v>
      </c>
      <c r="C78" s="1241"/>
      <c r="D78" s="2260">
        <v>71358722193</v>
      </c>
      <c r="E78" s="2261">
        <v>58466069634</v>
      </c>
    </row>
    <row r="79" spans="1:5" ht="33" x14ac:dyDescent="0.25">
      <c r="A79" s="1365" t="s">
        <v>647</v>
      </c>
      <c r="B79" s="1303" t="s">
        <v>641</v>
      </c>
      <c r="C79" s="1410"/>
      <c r="D79" s="2262">
        <v>0</v>
      </c>
      <c r="E79" s="2263">
        <v>40000000000</v>
      </c>
    </row>
    <row r="80" spans="1:5" ht="49.5" x14ac:dyDescent="0.25">
      <c r="A80" s="1413" t="s">
        <v>699</v>
      </c>
      <c r="B80" s="1414" t="s">
        <v>700</v>
      </c>
      <c r="C80" s="1411"/>
      <c r="D80" s="2264" t="s">
        <v>5</v>
      </c>
      <c r="E80" s="2265" t="s">
        <v>5</v>
      </c>
    </row>
  </sheetData>
  <mergeCells count="3">
    <mergeCell ref="A1:E1"/>
    <mergeCell ref="A2:E2"/>
    <mergeCell ref="A3:E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5:E80"/>
  <sheetViews>
    <sheetView workbookViewId="0"/>
  </sheetViews>
  <sheetFormatPr defaultRowHeight="15" x14ac:dyDescent="0.25"/>
  <cols>
    <col min="1" max="1" width="1" style="435" bestFit="1" customWidth="1"/>
    <col min="2" max="5" width="1" bestFit="1" customWidth="1"/>
  </cols>
  <sheetData>
    <row r="5" spans="1:5" x14ac:dyDescent="0.25">
      <c r="A5" t="str">
        <f>CONCATENATE(666063,",",ROW(BCLCTTRGT_06613!A5),"|",COLUMN(BCLCTTRGT_06613!A5),",0",",0")</f>
        <v>666063,5|1,0,0</v>
      </c>
      <c r="B5" t="str">
        <f>CONCATENATE(665888,",",ROW(BCLCTTRGT_06613!B5),"|",COLUMN(BCLCTTRGT_06613!B5),",0",",0")</f>
        <v>665888,5|2,0,0</v>
      </c>
      <c r="C5" t="str">
        <f>CONCATENATE(666064,",",ROW(BCLCTTRGT_06613!C5),"|",COLUMN(BCLCTTRGT_06613!C5),",0",",0")</f>
        <v>666064,5|3,0,0</v>
      </c>
      <c r="D5" t="str">
        <f>CONCATENATE(666065,",",ROW(BCLCTTRGT_06613!D5),"|",COLUMN(BCLCTTRGT_06613!D5),",0",",0")</f>
        <v>666065,5|4,0,0</v>
      </c>
      <c r="E5" t="str">
        <f>CONCATENATE(665976,",",ROW(BCLCTTRGT_06613!E5),"|",COLUMN(BCLCTTRGT_06613!E5),",0",",0")</f>
        <v>665976,5|5,0,0</v>
      </c>
    </row>
    <row r="6" spans="1:5" x14ac:dyDescent="0.25">
      <c r="A6" t="str">
        <f>CONCATENATE(665889,",",ROW(BCLCTTRGT_06613!A6),"|",COLUMN(BCLCTTRGT_06613!A6),",0",",0")</f>
        <v>665889,6|1,0,0</v>
      </c>
      <c r="B6" t="str">
        <f>CONCATENATE(665993,",",ROW(BCLCTTRGT_06613!B6),"|",COLUMN(BCLCTTRGT_06613!B6),",0",",0")</f>
        <v>665993,6|2,0,0</v>
      </c>
      <c r="C6" t="str">
        <f>CONCATENATE(666069,",",ROW(BCLCTTRGT_06613!C6),"|",COLUMN(BCLCTTRGT_06613!C6),",0",",0")</f>
        <v>666069,6|3,0,0</v>
      </c>
      <c r="D6" t="str">
        <f>CONCATENATE(665945,",",ROW(BCLCTTRGT_06613!D6),"|",COLUMN(BCLCTTRGT_06613!D6),",0",",0")</f>
        <v>665945,6|4,0,0</v>
      </c>
      <c r="E6" t="str">
        <f>CONCATENATE(666130,",",ROW(BCLCTTRGT_06613!E6),"|",COLUMN(BCLCTTRGT_06613!E6),",0",",0")</f>
        <v>666130,6|5,0,0</v>
      </c>
    </row>
    <row r="7" spans="1:5" x14ac:dyDescent="0.25">
      <c r="A7" t="str">
        <f>CONCATENATE(666223,",",ROW(BCLCTTRGT_06613!A7),"|",COLUMN(BCLCTTRGT_06613!A7),",0",",0")</f>
        <v>666223,7|1,0,0</v>
      </c>
      <c r="B7" t="str">
        <f>CONCATENATE(665992,",",ROW(BCLCTTRGT_06613!B7),"|",COLUMN(BCLCTTRGT_06613!B7),",0",",0")</f>
        <v>665992,7|2,0,0</v>
      </c>
      <c r="C7" t="str">
        <f>CONCATENATE(665897,",",ROW(BCLCTTRGT_06613!C7),"|",COLUMN(BCLCTTRGT_06613!C7),",0",",0")</f>
        <v>665897,7|3,0,0</v>
      </c>
      <c r="D7" t="str">
        <f>CONCATENATE(665943,",",ROW(BCLCTTRGT_06613!D7),"|",COLUMN(BCLCTTRGT_06613!D7),",0",",0")</f>
        <v>665943,7|4,0,0</v>
      </c>
      <c r="E7" t="str">
        <f>CONCATENATE(666128,",",ROW(BCLCTTRGT_06613!E7),"|",COLUMN(BCLCTTRGT_06613!E7),",0",",0")</f>
        <v>666128,7|5,0,0</v>
      </c>
    </row>
    <row r="8" spans="1:5" x14ac:dyDescent="0.25">
      <c r="A8" t="str">
        <f>CONCATENATE(666066,",",ROW(BCLCTTRGT_06613!A8),"|",COLUMN(BCLCTTRGT_06613!A8),",0",",0")</f>
        <v>666066,8|1,0,0</v>
      </c>
      <c r="B8" t="str">
        <f>CONCATENATE(665974,",",ROW(BCLCTTRGT_06613!B8),"|",COLUMN(BCLCTTRGT_06613!B8),",0",",0")</f>
        <v>665974,8|2,0,0</v>
      </c>
      <c r="C8" t="str">
        <f>CONCATENATE(666213,",",ROW(BCLCTTRGT_06613!C8),"|",COLUMN(BCLCTTRGT_06613!C8),",0",",0")</f>
        <v>666213,8|3,0,0</v>
      </c>
      <c r="D8" t="str">
        <f>CONCATENATE(665939,",",ROW(BCLCTTRGT_06613!D8),"|",COLUMN(BCLCTTRGT_06613!D8),",0",",0")</f>
        <v>665939,8|4,0,0</v>
      </c>
      <c r="E8" t="str">
        <f>CONCATENATE(666124,",",ROW(BCLCTTRGT_06613!E8),"|",COLUMN(BCLCTTRGT_06613!E8),",0",",0")</f>
        <v>666124,8|5,0,0</v>
      </c>
    </row>
    <row r="9" spans="1:5" x14ac:dyDescent="0.25">
      <c r="A9" t="str">
        <f>CONCATENATE(665978,",",ROW(BCLCTTRGT_06613!A9),"|",COLUMN(BCLCTTRGT_06613!A9),",0",",0")</f>
        <v>665978,9|1,0,0</v>
      </c>
      <c r="B9" t="str">
        <f>CONCATENATE(666052,",",ROW(BCLCTTRGT_06613!B9),"|",COLUMN(BCLCTTRGT_06613!B9),",0",",0")</f>
        <v>666052,9|2,0,0</v>
      </c>
      <c r="C9" t="str">
        <f>CONCATENATE(666214,",",ROW(BCLCTTRGT_06613!C9),"|",COLUMN(BCLCTTRGT_06613!C9),",0",",0")</f>
        <v>666214,9|3,0,0</v>
      </c>
      <c r="D9" t="str">
        <f>CONCATENATE(665940,",",ROW(BCLCTTRGT_06613!D9),"|",COLUMN(BCLCTTRGT_06613!D9),",0",",0")</f>
        <v>665940,9|4,0,0</v>
      </c>
      <c r="E9" t="str">
        <f>CONCATENATE(666125,",",ROW(BCLCTTRGT_06613!E9),"|",COLUMN(BCLCTTRGT_06613!E9),",0",",0")</f>
        <v>666125,9|5,0,0</v>
      </c>
    </row>
    <row r="10" spans="1:5" x14ac:dyDescent="0.25">
      <c r="A10" t="str">
        <f>CONCATENATE(666222,",",ROW(BCLCTTRGT_06613!A10),"|",COLUMN(BCLCTTRGT_06613!A10),",0",",0")</f>
        <v>666222,10|1,0,0</v>
      </c>
      <c r="B10" t="str">
        <f>CONCATENATE(665975,",",ROW(BCLCTTRGT_06613!B10),"|",COLUMN(BCLCTTRGT_06613!B10),",0",",0")</f>
        <v>665975,10|2,0,0</v>
      </c>
      <c r="C10" t="str">
        <f>CONCATENATE(666215,",",ROW(BCLCTTRGT_06613!C10),"|",COLUMN(BCLCTTRGT_06613!C10),",0",",0")</f>
        <v>666215,10|3,0,0</v>
      </c>
      <c r="D10" t="str">
        <f>CONCATENATE(665941,",",ROW(BCLCTTRGT_06613!D10),"|",COLUMN(BCLCTTRGT_06613!D10),",0",",0")</f>
        <v>665941,10|4,0,0</v>
      </c>
      <c r="E10" t="str">
        <f>CONCATENATE(666126,",",ROW(BCLCTTRGT_06613!E10),"|",COLUMN(BCLCTTRGT_06613!E10),",0",",0")</f>
        <v>666126,10|5,0,0</v>
      </c>
    </row>
    <row r="11" spans="1:5" x14ac:dyDescent="0.25">
      <c r="A11" t="str">
        <f>CONCATENATE(666013,",",ROW(BCLCTTRGT_06613!A11),"|",COLUMN(BCLCTTRGT_06613!A11),",0",",0")</f>
        <v>666013,11|1,0,0</v>
      </c>
      <c r="B11" t="str">
        <f>CONCATENATE(665991,",",ROW(BCLCTTRGT_06613!B11),"|",COLUMN(BCLCTTRGT_06613!B11),",0",",0")</f>
        <v>665991,11|2,0,0</v>
      </c>
      <c r="C11" t="str">
        <f>CONCATENATE(666216,",",ROW(BCLCTTRGT_06613!C11),"|",COLUMN(BCLCTTRGT_06613!C11),",0",",0")</f>
        <v>666216,11|3,0,0</v>
      </c>
      <c r="D11" t="str">
        <f>CONCATENATE(665942,",",ROW(BCLCTTRGT_06613!D11),"|",COLUMN(BCLCTTRGT_06613!D11),",0",",0")</f>
        <v>665942,11|4,0,0</v>
      </c>
      <c r="E11" t="str">
        <f>CONCATENATE(666127,",",ROW(BCLCTTRGT_06613!E11),"|",COLUMN(BCLCTTRGT_06613!E11),",0",",0")</f>
        <v>666127,11|5,0,0</v>
      </c>
    </row>
    <row r="12" spans="1:5" x14ac:dyDescent="0.25">
      <c r="A12" t="str">
        <f>CONCATENATE(666067,",",ROW(BCLCTTRGT_06613!A12),"|",COLUMN(BCLCTTRGT_06613!A12),",0",",0")</f>
        <v>666067,12|1,0,0</v>
      </c>
      <c r="B12" t="str">
        <f>CONCATENATE(666012,",",ROW(BCLCTTRGT_06613!B12),"|",COLUMN(BCLCTTRGT_06613!B12),",0",",0")</f>
        <v>666012,12|2,0,0</v>
      </c>
      <c r="C12" t="str">
        <f>CONCATENATE(666068,",",ROW(BCLCTTRGT_06613!C12),"|",COLUMN(BCLCTTRGT_06613!C12),",0",",0")</f>
        <v>666068,12|3,0,0</v>
      </c>
      <c r="D12" t="str">
        <f>CONCATENATE(665944,",",ROW(BCLCTTRGT_06613!D12),"|",COLUMN(BCLCTTRGT_06613!D12),",0",",0")</f>
        <v>665944,12|4,0,0</v>
      </c>
      <c r="E12" t="str">
        <f>CONCATENATE(666129,",",ROW(BCLCTTRGT_06613!E12),"|",COLUMN(BCLCTTRGT_06613!E12),",0",",0")</f>
        <v>666129,12|5,0,0</v>
      </c>
    </row>
    <row r="13" spans="1:5" x14ac:dyDescent="0.25">
      <c r="A13" t="str">
        <f>CONCATENATE(665977,",",ROW(BCLCTTRGT_06613!A13),"|",COLUMN(BCLCTTRGT_06613!A13),",0",",0")</f>
        <v>665977,13|1,0,0</v>
      </c>
      <c r="B13" t="s">
        <v>5</v>
      </c>
      <c r="C13" t="str">
        <f>CONCATENATE(666088,",",ROW(BCLCTTRGT_06613!C13),"|",COLUMN(BCLCTTRGT_06613!C13),",0",",0")</f>
        <v>666088,13|3,0,0</v>
      </c>
      <c r="D13" t="str">
        <f>CONCATENATE(665964,",",ROW(BCLCTTRGT_06613!D13),"|",COLUMN(BCLCTTRGT_06613!D13),",0",",0")</f>
        <v>665964,13|4,0,0</v>
      </c>
      <c r="E13" t="str">
        <f>CONCATENATE(666150,",",ROW(BCLCTTRGT_06613!E13),"|",COLUMN(BCLCTTRGT_06613!E13),",0",",0")</f>
        <v>666150,13|5,0,0</v>
      </c>
    </row>
    <row r="14" spans="1:5" x14ac:dyDescent="0.25">
      <c r="A14" t="str">
        <f>CONCATENATE(666014,",",ROW(BCLCTTRGT_06613!A14),"|",COLUMN(BCLCTTRGT_06613!A14),",0",",0")</f>
        <v>666014,14|1,0,0</v>
      </c>
      <c r="B14" t="str">
        <f>CONCATENATE(666053,",",ROW(BCLCTTRGT_06613!B14),"|",COLUMN(BCLCTTRGT_06613!B14),",0",",0")</f>
        <v>666053,14|2,0,0</v>
      </c>
      <c r="C14" t="str">
        <f>CONCATENATE(666070,",",ROW(BCLCTTRGT_06613!C14),"|",COLUMN(BCLCTTRGT_06613!C14),",0",",0")</f>
        <v>666070,14|3,0,0</v>
      </c>
      <c r="D14" t="str">
        <f>CONCATENATE(665946,",",ROW(BCLCTTRGT_06613!D14),"|",COLUMN(BCLCTTRGT_06613!D14),",0",",0")</f>
        <v>665946,14|4,0,0</v>
      </c>
      <c r="E14" t="str">
        <f>CONCATENATE(666131,",",ROW(BCLCTTRGT_06613!E14),"|",COLUMN(BCLCTTRGT_06613!E14),",0",",0")</f>
        <v>666131,14|5,0,0</v>
      </c>
    </row>
    <row r="15" spans="1:5" x14ac:dyDescent="0.25">
      <c r="A15" t="str">
        <f>CONCATENATE(666020,",",ROW(BCLCTTRGT_06613!A15),"|",COLUMN(BCLCTTRGT_06613!A15),",0",",0")</f>
        <v>666020,15|1,0,0</v>
      </c>
      <c r="B15" t="str">
        <f>CONCATENATE(665893,",",ROW(BCLCTTRGT_06613!B15),"|",COLUMN(BCLCTTRGT_06613!B15),",0",",0")</f>
        <v>665893,15|2,0,0</v>
      </c>
      <c r="C15" t="str">
        <f>CONCATENATE(666071,",",ROW(BCLCTTRGT_06613!C15),"|",COLUMN(BCLCTTRGT_06613!C15),",0",",0")</f>
        <v>666071,15|3,0,0</v>
      </c>
      <c r="D15" t="str">
        <f>CONCATENATE(665947,",",ROW(BCLCTTRGT_06613!D15),"|",COLUMN(BCLCTTRGT_06613!D15),",0",",0")</f>
        <v>665947,15|4,0,0</v>
      </c>
      <c r="E15" t="str">
        <f>CONCATENATE(666132,",",ROW(BCLCTTRGT_06613!E15),"|",COLUMN(BCLCTTRGT_06613!E15),",0",",0")</f>
        <v>666132,15|5,0,0</v>
      </c>
    </row>
    <row r="16" spans="1:5" x14ac:dyDescent="0.25">
      <c r="A16" t="str">
        <f>CONCATENATE(665979,",",ROW(BCLCTTRGT_06613!A16),"|",COLUMN(BCLCTTRGT_06613!A16),",0",",0")</f>
        <v>665979,16|1,0,0</v>
      </c>
      <c r="B16" t="str">
        <f>CONCATENATE(666054,",",ROW(BCLCTTRGT_06613!B16),"|",COLUMN(BCLCTTRGT_06613!B16),",0",",0")</f>
        <v>666054,16|2,0,0</v>
      </c>
      <c r="C16" t="str">
        <f>CONCATENATE(666072,",",ROW(BCLCTTRGT_06613!C16),"|",COLUMN(BCLCTTRGT_06613!C16),",0",",0")</f>
        <v>666072,16|3,0,0</v>
      </c>
      <c r="D16" t="str">
        <f>CONCATENATE(665948,",",ROW(BCLCTTRGT_06613!D16),"|",COLUMN(BCLCTTRGT_06613!D16),",0",",0")</f>
        <v>665948,16|4,0,0</v>
      </c>
      <c r="E16" t="str">
        <f>CONCATENATE(666133,",",ROW(BCLCTTRGT_06613!E16),"|",COLUMN(BCLCTTRGT_06613!E16),",0",",0")</f>
        <v>666133,16|5,0,0</v>
      </c>
    </row>
    <row r="17" spans="1:5" x14ac:dyDescent="0.25">
      <c r="A17" t="str">
        <f>CONCATENATE(665980,",",ROW(BCLCTTRGT_06613!A17),"|",COLUMN(BCLCTTRGT_06613!A17),",0",",0")</f>
        <v>665980,17|1,0,0</v>
      </c>
      <c r="B17" t="str">
        <f>CONCATENATE(666182,",",ROW(BCLCTTRGT_06613!B17),"|",COLUMN(BCLCTTRGT_06613!B17),",0",",0")</f>
        <v>666182,17|2,0,0</v>
      </c>
      <c r="C17" t="str">
        <f>CONCATENATE(666073,",",ROW(BCLCTTRGT_06613!C17),"|",COLUMN(BCLCTTRGT_06613!C17),",0",",0")</f>
        <v>666073,17|3,0,0</v>
      </c>
      <c r="D17" t="str">
        <f>CONCATENATE(665949,",",ROW(BCLCTTRGT_06613!D17),"|",COLUMN(BCLCTTRGT_06613!D17),",0",",0")</f>
        <v>665949,17|4,0,0</v>
      </c>
      <c r="E17" t="str">
        <f>CONCATENATE(666135,",",ROW(BCLCTTRGT_06613!E17),"|",COLUMN(BCLCTTRGT_06613!E17),",0",",0")</f>
        <v>666135,17|5,0,0</v>
      </c>
    </row>
    <row r="18" spans="1:5" x14ac:dyDescent="0.25">
      <c r="A18" t="str">
        <f>CONCATENATE(666015,",",ROW(BCLCTTRGT_06613!A18),"|",COLUMN(BCLCTTRGT_06613!A18),",0",",0")</f>
        <v>666015,18|1,0,0</v>
      </c>
      <c r="B18" t="str">
        <f>CONCATENATE(665869,",",ROW(BCLCTTRGT_06613!B18),"|",COLUMN(BCLCTTRGT_06613!B18),",0",",0")</f>
        <v>665869,18|2,0,0</v>
      </c>
      <c r="C18" t="str">
        <f>CONCATENATE(666075,",",ROW(BCLCTTRGT_06613!C18),"|",COLUMN(BCLCTTRGT_06613!C18),",0",",0")</f>
        <v>666075,18|3,0,0</v>
      </c>
      <c r="D18" t="str">
        <f>CONCATENATE(665951,",",ROW(BCLCTTRGT_06613!D18),"|",COLUMN(BCLCTTRGT_06613!D18),",0",",0")</f>
        <v>665951,18|4,0,0</v>
      </c>
      <c r="E18" t="str">
        <f>CONCATENATE(666137,",",ROW(BCLCTTRGT_06613!E18),"|",COLUMN(BCLCTTRGT_06613!E18),",0",",0")</f>
        <v>666137,18|5,0,0</v>
      </c>
    </row>
    <row r="19" spans="1:5" x14ac:dyDescent="0.25">
      <c r="A19" t="str">
        <f>CONCATENATE(666021,",",ROW(BCLCTTRGT_06613!A19),"|",COLUMN(BCLCTTRGT_06613!A19),",0",",0")</f>
        <v>666021,19|1,0,0</v>
      </c>
      <c r="B19" t="str">
        <f>CONCATENATE(665870,",",ROW(BCLCTTRGT_06613!B19),"|",COLUMN(BCLCTTRGT_06613!B19),",0",",0")</f>
        <v>665870,19|2,0,0</v>
      </c>
      <c r="C19" t="str">
        <f>CONCATENATE(666074,",",ROW(BCLCTTRGT_06613!C19),"|",COLUMN(BCLCTTRGT_06613!C19),",0",",0")</f>
        <v>666074,19|3,0,0</v>
      </c>
      <c r="D19" t="str">
        <f>CONCATENATE(665950,",",ROW(BCLCTTRGT_06613!D19),"|",COLUMN(BCLCTTRGT_06613!D19),",0",",0")</f>
        <v>665950,19|4,0,0</v>
      </c>
      <c r="E19" t="str">
        <f>CONCATENATE(666136,",",ROW(BCLCTTRGT_06613!E19),"|",COLUMN(BCLCTTRGT_06613!E19),",0",",0")</f>
        <v>666136,19|5,0,0</v>
      </c>
    </row>
    <row r="20" spans="1:5" x14ac:dyDescent="0.25">
      <c r="A20" t="str">
        <f>CONCATENATE(666016,",",ROW(BCLCTTRGT_06613!A20),"|",COLUMN(BCLCTTRGT_06613!A20),",0",",0")</f>
        <v>666016,20|1,0,0</v>
      </c>
      <c r="B20" t="str">
        <f>CONCATENATE(665894,",",ROW(BCLCTTRGT_06613!B20),"|",COLUMN(BCLCTTRGT_06613!B20),",0",",0")</f>
        <v>665894,20|2,0,0</v>
      </c>
      <c r="C20" t="str">
        <f>CONCATENATE(666076,",",ROW(BCLCTTRGT_06613!C20),"|",COLUMN(BCLCTTRGT_06613!C20),",0",",0")</f>
        <v>666076,20|3,0,0</v>
      </c>
      <c r="D20" t="str">
        <f>CONCATENATE(665952,",",ROW(BCLCTTRGT_06613!D20),"|",COLUMN(BCLCTTRGT_06613!D20),",0",",0")</f>
        <v>665952,20|4,0,0</v>
      </c>
      <c r="E20" t="str">
        <f>CONCATENATE(666138,",",ROW(BCLCTTRGT_06613!E20),"|",COLUMN(BCLCTTRGT_06613!E20),",0",",0")</f>
        <v>666138,20|5,0,0</v>
      </c>
    </row>
    <row r="21" spans="1:5" x14ac:dyDescent="0.25">
      <c r="A21" t="str">
        <f>CONCATENATE(666017,",",ROW(BCLCTTRGT_06613!A21),"|",COLUMN(BCLCTTRGT_06613!A21),",0",",0")</f>
        <v>666017,21|1,0,0</v>
      </c>
      <c r="B21" t="str">
        <f>CONCATENATE(666183,",",ROW(BCLCTTRGT_06613!B21),"|",COLUMN(BCLCTTRGT_06613!B21),",0",",0")</f>
        <v>666183,21|2,0,0</v>
      </c>
      <c r="C21" t="str">
        <f>CONCATENATE(666077,",",ROW(BCLCTTRGT_06613!C21),"|",COLUMN(BCLCTTRGT_06613!C21),",0",",0")</f>
        <v>666077,21|3,0,0</v>
      </c>
      <c r="D21" t="str">
        <f>CONCATENATE(665953,",",ROW(BCLCTTRGT_06613!D21),"|",COLUMN(BCLCTTRGT_06613!D21),",0",",0")</f>
        <v>665953,21|4,0,0</v>
      </c>
      <c r="E21" t="str">
        <f>CONCATENATE(666139,",",ROW(BCLCTTRGT_06613!E21),"|",COLUMN(BCLCTTRGT_06613!E21),",0",",0")</f>
        <v>666139,21|5,0,0</v>
      </c>
    </row>
    <row r="22" spans="1:5" x14ac:dyDescent="0.25">
      <c r="A22" t="str">
        <f>CONCATENATE(666022,",",ROW(BCLCTTRGT_06613!A22),"|",COLUMN(BCLCTTRGT_06613!A22),",0",",0")</f>
        <v>666022,22|1,0,0</v>
      </c>
      <c r="B22" t="str">
        <f>CONCATENATE(665895,",",ROW(BCLCTTRGT_06613!B22),"|",COLUMN(BCLCTTRGT_06613!B22),",0",",0")</f>
        <v>665895,22|2,0,0</v>
      </c>
      <c r="C22" t="str">
        <f>CONCATENATE(666078,",",ROW(BCLCTTRGT_06613!C22),"|",COLUMN(BCLCTTRGT_06613!C22),",0",",0")</f>
        <v>666078,22|3,0,0</v>
      </c>
      <c r="D22" t="str">
        <f>CONCATENATE(665954,",",ROW(BCLCTTRGT_06613!D22),"|",COLUMN(BCLCTTRGT_06613!D22),",0",",0")</f>
        <v>665954,22|4,0,0</v>
      </c>
      <c r="E22" t="str">
        <f>CONCATENATE(666140,",",ROW(BCLCTTRGT_06613!E22),"|",COLUMN(BCLCTTRGT_06613!E22),",0",",0")</f>
        <v>666140,22|5,0,0</v>
      </c>
    </row>
    <row r="23" spans="1:5" x14ac:dyDescent="0.25">
      <c r="A23" t="str">
        <f>CONCATENATE(666018,",",ROW(BCLCTTRGT_06613!A23),"|",COLUMN(BCLCTTRGT_06613!A23),",0",",0")</f>
        <v>666018,23|1,0,0</v>
      </c>
      <c r="B23" t="str">
        <f>CONCATENATE(665994,",",ROW(BCLCTTRGT_06613!B23),"|",COLUMN(BCLCTTRGT_06613!B23),",0",",0")</f>
        <v>665994,23|2,0,0</v>
      </c>
      <c r="C23" t="str">
        <f>CONCATENATE(666079,",",ROW(BCLCTTRGT_06613!C23),"|",COLUMN(BCLCTTRGT_06613!C23),",0",",0")</f>
        <v>666079,23|3,0,0</v>
      </c>
      <c r="D23" t="str">
        <f>CONCATENATE(665955,",",ROW(BCLCTTRGT_06613!D23),"|",COLUMN(BCLCTTRGT_06613!D23),",0",",0")</f>
        <v>665955,23|4,0,0</v>
      </c>
      <c r="E23" t="str">
        <f>CONCATENATE(666141,",",ROW(BCLCTTRGT_06613!E23),"|",COLUMN(BCLCTTRGT_06613!E23),",0",",0")</f>
        <v>666141,23|5,0,0</v>
      </c>
    </row>
    <row r="24" spans="1:5" x14ac:dyDescent="0.25">
      <c r="A24" t="str">
        <f>CONCATENATE(666019,",",ROW(BCLCTTRGT_06613!A24),"|",COLUMN(BCLCTTRGT_06613!A24),",0",",0")</f>
        <v>666019,24|1,0,0</v>
      </c>
      <c r="B24" t="str">
        <f>CONCATENATE(666055,",",ROW(BCLCTTRGT_06613!B24),"|",COLUMN(BCLCTTRGT_06613!B24),",0",",0")</f>
        <v>666055,24|2,0,0</v>
      </c>
      <c r="C24" t="str">
        <f>CONCATENATE(666080,",",ROW(BCLCTTRGT_06613!C24),"|",COLUMN(BCLCTTRGT_06613!C24),",0",",0")</f>
        <v>666080,24|3,0,0</v>
      </c>
      <c r="D24" t="str">
        <f>CONCATENATE(665956,",",ROW(BCLCTTRGT_06613!D24),"|",COLUMN(BCLCTTRGT_06613!D24),",0",",0")</f>
        <v>665956,24|4,0,0</v>
      </c>
      <c r="E24" t="str">
        <f>CONCATENATE(666142,",",ROW(BCLCTTRGT_06613!E24),"|",COLUMN(BCLCTTRGT_06613!E24),",0",",0")</f>
        <v>666142,24|5,0,0</v>
      </c>
    </row>
    <row r="25" spans="1:5" x14ac:dyDescent="0.25">
      <c r="A25" t="str">
        <f>CONCATENATE(666023,",",ROW(BCLCTTRGT_06613!A25),"|",COLUMN(BCLCTTRGT_06613!A25),",0",",0")</f>
        <v>666023,25|1,0,0</v>
      </c>
      <c r="B25" t="str">
        <f>CONCATENATE(666056,",",ROW(BCLCTTRGT_06613!B25),"|",COLUMN(BCLCTTRGT_06613!B25),",0",",0")</f>
        <v>666056,25|2,0,0</v>
      </c>
      <c r="C25" t="str">
        <f>CONCATENATE(666081,",",ROW(BCLCTTRGT_06613!C25),"|",COLUMN(BCLCTTRGT_06613!C25),",0",",0")</f>
        <v>666081,25|3,0,0</v>
      </c>
      <c r="D25" t="str">
        <f>CONCATENATE(665957,",",ROW(BCLCTTRGT_06613!D25),"|",COLUMN(BCLCTTRGT_06613!D25),",0",",0")</f>
        <v>665957,25|4,0,0</v>
      </c>
      <c r="E25" t="str">
        <f>CONCATENATE(666143,",",ROW(BCLCTTRGT_06613!E25),"|",COLUMN(BCLCTTRGT_06613!E25),",0",",0")</f>
        <v>666143,25|5,0,0</v>
      </c>
    </row>
    <row r="26" spans="1:5" x14ac:dyDescent="0.25">
      <c r="A26" t="str">
        <f>CONCATENATE(665968,",",ROW(BCLCTTRGT_06613!A26),"|",COLUMN(BCLCTTRGT_06613!A26),",0",",0")</f>
        <v>665968,26|1,0,0</v>
      </c>
      <c r="B26" t="str">
        <f>CONCATENATE(665871,",",ROW(BCLCTTRGT_06613!B26),"|",COLUMN(BCLCTTRGT_06613!B26),",0",",0")</f>
        <v>665871,26|2,0,0</v>
      </c>
      <c r="C26" t="str">
        <f>CONCATENATE(666082,",",ROW(BCLCTTRGT_06613!C26),"|",COLUMN(BCLCTTRGT_06613!C26),",0",",0")</f>
        <v>666082,26|3,0,0</v>
      </c>
      <c r="D26" t="str">
        <f>CONCATENATE(665958,",",ROW(BCLCTTRGT_06613!D26),"|",COLUMN(BCLCTTRGT_06613!D26),",0",",0")</f>
        <v>665958,26|4,0,0</v>
      </c>
      <c r="E26" t="str">
        <f>CONCATENATE(666144,",",ROW(BCLCTTRGT_06613!E26),"|",COLUMN(BCLCTTRGT_06613!E26),",0",",0")</f>
        <v>666144,26|5,0,0</v>
      </c>
    </row>
    <row r="27" spans="1:5" x14ac:dyDescent="0.25">
      <c r="A27" t="str">
        <f>CONCATENATE(665969,",",ROW(BCLCTTRGT_06613!A27),"|",COLUMN(BCLCTTRGT_06613!A27),",0",",0")</f>
        <v>665969,27|1,0,0</v>
      </c>
      <c r="B27" t="str">
        <f>CONCATENATE(666232,",",ROW(BCLCTTRGT_06613!B27),"|",COLUMN(BCLCTTRGT_06613!B27),",0",",0")</f>
        <v>666232,27|2,0,0</v>
      </c>
      <c r="C27" t="str">
        <f>CONCATENATE(666211,",",ROW(BCLCTTRGT_06613!C27),"|",COLUMN(BCLCTTRGT_06613!C27),",0",",0")</f>
        <v>666211,27|3,0,0</v>
      </c>
      <c r="D27" t="str">
        <f>CONCATENATE(665937,",",ROW(BCLCTTRGT_06613!D27),"|",COLUMN(BCLCTTRGT_06613!D27),",0",",0")</f>
        <v>665937,27|4,0,0</v>
      </c>
      <c r="E27" t="str">
        <f>CONCATENATE(666122,",",ROW(BCLCTTRGT_06613!E27),"|",COLUMN(BCLCTTRGT_06613!E27),",0",",0")</f>
        <v>666122,27|5,0,0</v>
      </c>
    </row>
    <row r="28" spans="1:5" x14ac:dyDescent="0.25">
      <c r="A28" t="str">
        <f>CONCATENATE(665982,",",ROW(BCLCTTRGT_06613!A28),"|",COLUMN(BCLCTTRGT_06613!A28),",0",",0")</f>
        <v>665982,28|1,0,0</v>
      </c>
      <c r="B28" t="str">
        <f>CONCATENATE(666184,",",ROW(BCLCTTRGT_06613!B28),"|",COLUMN(BCLCTTRGT_06613!B28),",0",",0")</f>
        <v>666184,28|2,0,0</v>
      </c>
      <c r="C28" t="str">
        <f>CONCATENATE(666083,",",ROW(BCLCTTRGT_06613!C28),"|",COLUMN(BCLCTTRGT_06613!C28),",0",",0")</f>
        <v>666083,28|3,0,0</v>
      </c>
      <c r="D28" t="str">
        <f>CONCATENATE(665959,",",ROW(BCLCTTRGT_06613!D28),"|",COLUMN(BCLCTTRGT_06613!D28),",0",",0")</f>
        <v>665959,28|4,0,0</v>
      </c>
      <c r="E28" t="str">
        <f>CONCATENATE(666145,",",ROW(BCLCTTRGT_06613!E28),"|",COLUMN(BCLCTTRGT_06613!E28),",0",",0")</f>
        <v>666145,28|5,0,0</v>
      </c>
    </row>
    <row r="29" spans="1:5" x14ac:dyDescent="0.25">
      <c r="A29" t="str">
        <f>CONCATENATE(666024,",",ROW(BCLCTTRGT_06613!A29),"|",COLUMN(BCLCTTRGT_06613!A29),",0",",0")</f>
        <v>666024,29|1,0,0</v>
      </c>
      <c r="B29" t="str">
        <f>CONCATENATE(666134,",",ROW(BCLCTTRGT_06613!B29),"|",COLUMN(BCLCTTRGT_06613!B29),",0",",0")</f>
        <v>666134,29|2,0,0</v>
      </c>
      <c r="C29" t="str">
        <f>CONCATENATE(666084,",",ROW(BCLCTTRGT_06613!C29),"|",COLUMN(BCLCTTRGT_06613!C29),",0",",0")</f>
        <v>666084,29|3,0,0</v>
      </c>
      <c r="D29" t="str">
        <f>CONCATENATE(665960,",",ROW(BCLCTTRGT_06613!D29),"|",COLUMN(BCLCTTRGT_06613!D29),",0",",0")</f>
        <v>665960,29|4,0,0</v>
      </c>
      <c r="E29" t="str">
        <f>CONCATENATE(666146,",",ROW(BCLCTTRGT_06613!E29),"|",COLUMN(BCLCTTRGT_06613!E29),",0",",0")</f>
        <v>666146,29|5,0,0</v>
      </c>
    </row>
    <row r="30" spans="1:5" x14ac:dyDescent="0.25">
      <c r="A30" t="str">
        <f>CONCATENATE(666009,",",ROW(BCLCTTRGT_06613!A30),"|",COLUMN(BCLCTTRGT_06613!A30),",0",",0")</f>
        <v>666009,30|1,0,0</v>
      </c>
      <c r="B30" t="str">
        <f>CONCATENATE(665872,",",ROW(BCLCTTRGT_06613!B30),"|",COLUMN(BCLCTTRGT_06613!B30),",0",",0")</f>
        <v>665872,30|2,0,0</v>
      </c>
      <c r="C30" t="str">
        <f>CONCATENATE(666155,",",ROW(BCLCTTRGT_06613!C30),"|",COLUMN(BCLCTTRGT_06613!C30),",0",",0")</f>
        <v>666155,30|3,0,0</v>
      </c>
      <c r="D30" t="str">
        <f>CONCATENATE(666091,",",ROW(BCLCTTRGT_06613!D30),"|",COLUMN(BCLCTTRGT_06613!D30),",0",",0")</f>
        <v>666091,30|4,0,0</v>
      </c>
      <c r="E30" t="str">
        <f>CONCATENATE(666029,",",ROW(BCLCTTRGT_06613!E30),"|",COLUMN(BCLCTTRGT_06613!E30),",0",",0")</f>
        <v>666029,30|5,0,0</v>
      </c>
    </row>
    <row r="31" spans="1:5" x14ac:dyDescent="0.25">
      <c r="A31" t="str">
        <f>CONCATENATE(666010,",",ROW(BCLCTTRGT_06613!A31),"|",COLUMN(BCLCTTRGT_06613!A31),",0",",0")</f>
        <v>666010,31|1,0,0</v>
      </c>
      <c r="B31" t="str">
        <f>CONCATENATE(665995,",",ROW(BCLCTTRGT_06613!B31),"|",COLUMN(BCLCTTRGT_06613!B31),",0",",0")</f>
        <v>665995,31|2,0,0</v>
      </c>
      <c r="C31" t="str">
        <f>CONCATENATE(666156,",",ROW(BCLCTTRGT_06613!C31),"|",COLUMN(BCLCTTRGT_06613!C31),",0",",0")</f>
        <v>666156,31|3,0,0</v>
      </c>
      <c r="D31" t="str">
        <f>CONCATENATE(666092,",",ROW(BCLCTTRGT_06613!D31),"|",COLUMN(BCLCTTRGT_06613!D31),",0",",0")</f>
        <v>666092,31|4,0,0</v>
      </c>
      <c r="E31" t="str">
        <f>CONCATENATE(666033,",",ROW(BCLCTTRGT_06613!E31),"|",COLUMN(BCLCTTRGT_06613!E31),",0",",0")</f>
        <v>666033,31|5,0,0</v>
      </c>
    </row>
    <row r="32" spans="1:5" x14ac:dyDescent="0.25">
      <c r="A32" t="str">
        <f>CONCATENATE(665890,",",ROW(BCLCTTRGT_06613!A32),"|",COLUMN(BCLCTTRGT_06613!A32),",0",",0")</f>
        <v>665890,32|1,0,0</v>
      </c>
      <c r="B32" t="str">
        <f>CONCATENATE(665896,",",ROW(BCLCTTRGT_06613!B32),"|",COLUMN(BCLCTTRGT_06613!B32),",0",",0")</f>
        <v>665896,32|2,0,0</v>
      </c>
      <c r="C32" t="str">
        <f>CONCATENATE(666085,",",ROW(BCLCTTRGT_06613!C32),"|",COLUMN(BCLCTTRGT_06613!C32),",0",",0")</f>
        <v>666085,32|3,0,0</v>
      </c>
      <c r="D32" t="str">
        <f>CONCATENATE(665961,",",ROW(BCLCTTRGT_06613!D32),"|",COLUMN(BCLCTTRGT_06613!D32),",0",",0")</f>
        <v>665961,32|4,0,0</v>
      </c>
      <c r="E32" t="str">
        <f>CONCATENATE(666147,",",ROW(BCLCTTRGT_06613!E32),"|",COLUMN(BCLCTTRGT_06613!E32),",0",",0")</f>
        <v>666147,32|5,0,0</v>
      </c>
    </row>
    <row r="33" spans="1:5" x14ac:dyDescent="0.25">
      <c r="A33" t="str">
        <f>CONCATENATE(666224,",",ROW(BCLCTTRGT_06613!A33),"|",COLUMN(BCLCTTRGT_06613!A33),",0",",0")</f>
        <v>666224,33|1,0,0</v>
      </c>
      <c r="B33" t="str">
        <f>CONCATENATE(666233,",",ROW(BCLCTTRGT_06613!B33),"|",COLUMN(BCLCTTRGT_06613!B33),",0",",0")</f>
        <v>666233,33|2,0,0</v>
      </c>
      <c r="C33" t="str">
        <f>CONCATENATE(666212,",",ROW(BCLCTTRGT_06613!C33),"|",COLUMN(BCLCTTRGT_06613!C33),",0",",0")</f>
        <v>666212,33|3,0,0</v>
      </c>
      <c r="D33" t="str">
        <f>CONCATENATE(665938,",",ROW(BCLCTTRGT_06613!D33),"|",COLUMN(BCLCTTRGT_06613!D33),",0",",0")</f>
        <v>665938,33|4,0,0</v>
      </c>
      <c r="E33" t="str">
        <f>CONCATENATE(666123,",",ROW(BCLCTTRGT_06613!E33),"|",COLUMN(BCLCTTRGT_06613!E33),",0",",0")</f>
        <v>666123,33|5,0,0</v>
      </c>
    </row>
    <row r="34" spans="1:5" x14ac:dyDescent="0.25">
      <c r="A34" t="str">
        <f>CONCATENATE(665983,",",ROW(BCLCTTRGT_06613!A34),"|",COLUMN(BCLCTTRGT_06613!A34),",0",",0")</f>
        <v>665983,34|1,0,0</v>
      </c>
      <c r="B34" t="str">
        <f>CONCATENATE(665996,",",ROW(BCLCTTRGT_06613!B34),"|",COLUMN(BCLCTTRGT_06613!B34),",0",",0")</f>
        <v>665996,34|2,0,0</v>
      </c>
      <c r="C34" t="str">
        <f>CONCATENATE(666086,",",ROW(BCLCTTRGT_06613!C34),"|",COLUMN(BCLCTTRGT_06613!C34),",0",",0")</f>
        <v>666086,34|3,0,0</v>
      </c>
      <c r="D34" t="str">
        <f>CONCATENATE(665962,",",ROW(BCLCTTRGT_06613!D34),"|",COLUMN(BCLCTTRGT_06613!D34),",0",",0")</f>
        <v>665962,34|4,0,0</v>
      </c>
      <c r="E34" t="str">
        <f>CONCATENATE(666148,",",ROW(BCLCTTRGT_06613!E34),"|",COLUMN(BCLCTTRGT_06613!E34),",0",",0")</f>
        <v>666148,34|5,0,0</v>
      </c>
    </row>
    <row r="35" spans="1:5" x14ac:dyDescent="0.25">
      <c r="A35" t="str">
        <f>CONCATENATE(665984,",",ROW(BCLCTTRGT_06613!A35),"|",COLUMN(BCLCTTRGT_06613!A35),",0",",0")</f>
        <v>665984,35|1,0,0</v>
      </c>
      <c r="B35" t="str">
        <f>CONCATENATE(665997,",",ROW(BCLCTTRGT_06613!B35),"|",COLUMN(BCLCTTRGT_06613!B35),",0",",0")</f>
        <v>665997,35|2,0,0</v>
      </c>
      <c r="C35" t="str">
        <f>CONCATENATE(666087,",",ROW(BCLCTTRGT_06613!C35),"|",COLUMN(BCLCTTRGT_06613!C35),",0",",0")</f>
        <v>666087,35|3,0,0</v>
      </c>
      <c r="D35" t="str">
        <f>CONCATENATE(665963,",",ROW(BCLCTTRGT_06613!D35),"|",COLUMN(BCLCTTRGT_06613!D35),",0",",0")</f>
        <v>665963,35|4,0,0</v>
      </c>
      <c r="E35" t="str">
        <f>CONCATENATE(666149,",",ROW(BCLCTTRGT_06613!E35),"|",COLUMN(BCLCTTRGT_06613!E35),",0",",0")</f>
        <v>666149,35|5,0,0</v>
      </c>
    </row>
    <row r="36" spans="1:5" x14ac:dyDescent="0.25">
      <c r="A36" t="str">
        <f>CONCATENATE(665985,",",ROW(BCLCTTRGT_06613!A36),"|",COLUMN(BCLCTTRGT_06613!A36),",0",",0")</f>
        <v>665985,36|1,0,0</v>
      </c>
      <c r="B36" t="str">
        <f>CONCATENATE(665873,",",ROW(BCLCTTRGT_06613!B36),"|",COLUMN(BCLCTTRGT_06613!B36),",0",",0")</f>
        <v>665873,36|2,0,0</v>
      </c>
      <c r="C36" t="str">
        <f>CONCATENATE(666158,",",ROW(BCLCTTRGT_06613!C36),"|",COLUMN(BCLCTTRGT_06613!C36),",0",",0")</f>
        <v>666158,36|3,0,0</v>
      </c>
      <c r="D36" t="str">
        <f>CONCATENATE(666094,",",ROW(BCLCTTRGT_06613!D36),"|",COLUMN(BCLCTTRGT_06613!D36),",0",",0")</f>
        <v>666094,36|4,0,0</v>
      </c>
      <c r="E36" t="str">
        <f>CONCATENATE(666031,",",ROW(BCLCTTRGT_06613!E36),"|",COLUMN(BCLCTTRGT_06613!E36),",0",",0")</f>
        <v>666031,36|5,0,0</v>
      </c>
    </row>
    <row r="37" spans="1:5" x14ac:dyDescent="0.25">
      <c r="A37" t="str">
        <f>CONCATENATE(665986,",",ROW(BCLCTTRGT_06613!A37),"|",COLUMN(BCLCTTRGT_06613!A37),",0",",0")</f>
        <v>665986,37|1,0,0</v>
      </c>
      <c r="B37" t="str">
        <f>CONCATENATE(665998,",",ROW(BCLCTTRGT_06613!B37),"|",COLUMN(BCLCTTRGT_06613!B37),",0",",0")</f>
        <v>665998,37|2,0,0</v>
      </c>
      <c r="C37" t="str">
        <f>CONCATENATE(666159,",",ROW(BCLCTTRGT_06613!C37),"|",COLUMN(BCLCTTRGT_06613!C37),",0",",0")</f>
        <v>666159,37|3,0,0</v>
      </c>
      <c r="D37" t="str">
        <f>CONCATENATE(666095,",",ROW(BCLCTTRGT_06613!D37),"|",COLUMN(BCLCTTRGT_06613!D37),",0",",0")</f>
        <v>666095,37|4,0,0</v>
      </c>
      <c r="E37" t="str">
        <f>CONCATENATE(666032,",",ROW(BCLCTTRGT_06613!E37),"|",COLUMN(BCLCTTRGT_06613!E37),",0",",0")</f>
        <v>666032,37|5,0,0</v>
      </c>
    </row>
    <row r="38" spans="1:5" x14ac:dyDescent="0.25">
      <c r="A38" t="str">
        <f>CONCATENATE(666011,",",ROW(BCLCTTRGT_06613!A38),"|",COLUMN(BCLCTTRGT_06613!A38),",0",",0")</f>
        <v>666011,38|1,0,0</v>
      </c>
      <c r="B38" t="str">
        <f>CONCATENATE(666185,",",ROW(BCLCTTRGT_06613!B38),"|",COLUMN(BCLCTTRGT_06613!B38),",0",",0")</f>
        <v>666185,38|2,0,0</v>
      </c>
      <c r="C38" t="str">
        <f>CONCATENATE(666157,",",ROW(BCLCTTRGT_06613!C38),"|",COLUMN(BCLCTTRGT_06613!C38),",0",",0")</f>
        <v>666157,38|3,0,0</v>
      </c>
      <c r="D38" t="str">
        <f>CONCATENATE(666093,",",ROW(BCLCTTRGT_06613!D38),"|",COLUMN(BCLCTTRGT_06613!D38),",0",",0")</f>
        <v>666093,38|4,0,0</v>
      </c>
      <c r="E38" t="str">
        <f>CONCATENATE(666030,",",ROW(BCLCTTRGT_06613!E38),"|",COLUMN(BCLCTTRGT_06613!E38),",0",",0")</f>
        <v>666030,38|5,0,0</v>
      </c>
    </row>
    <row r="39" spans="1:5" x14ac:dyDescent="0.25">
      <c r="A39" t="str">
        <f>CONCATENATE(666225,",",ROW(BCLCTTRGT_06613!A39),"|",COLUMN(BCLCTTRGT_06613!A39),",0",",0")</f>
        <v>666225,39|1,0,0</v>
      </c>
      <c r="B39" t="str">
        <f>CONCATENATE(665999,",",ROW(BCLCTTRGT_06613!B39),"|",COLUMN(BCLCTTRGT_06613!B39),",0",",0")</f>
        <v>665999,39|2,0,0</v>
      </c>
      <c r="C39" t="str">
        <f>CONCATENATE(666160,",",ROW(BCLCTTRGT_06613!C39),"|",COLUMN(BCLCTTRGT_06613!C39),",0",",0")</f>
        <v>666160,39|3,0,0</v>
      </c>
      <c r="D39" t="str">
        <f>CONCATENATE(666096,",",ROW(BCLCTTRGT_06613!D39),"|",COLUMN(BCLCTTRGT_06613!D39),",0",",0")</f>
        <v>666096,39|4,0,0</v>
      </c>
      <c r="E39" t="str">
        <f>CONCATENATE(666034,",",ROW(BCLCTTRGT_06613!E39),"|",COLUMN(BCLCTTRGT_06613!E39),",0",",0")</f>
        <v>666034,39|5,0,0</v>
      </c>
    </row>
    <row r="40" spans="1:5" x14ac:dyDescent="0.25">
      <c r="A40" t="str">
        <f>CONCATENATE(666025,",",ROW(BCLCTTRGT_06613!A40),"|",COLUMN(BCLCTTRGT_06613!A40),",0",",0")</f>
        <v>666025,40|1,0,0</v>
      </c>
      <c r="B40" t="str">
        <f>CONCATENATE(666234,",",ROW(BCLCTTRGT_06613!B40),"|",COLUMN(BCLCTTRGT_06613!B40),",0",",0")</f>
        <v>666234,40|2,0,0</v>
      </c>
      <c r="C40" t="str">
        <f>CONCATENATE(666161,",",ROW(BCLCTTRGT_06613!C40),"|",COLUMN(BCLCTTRGT_06613!C40),",0",",0")</f>
        <v>666161,40|3,0,0</v>
      </c>
      <c r="D40" t="str">
        <f>CONCATENATE(666097,",",ROW(BCLCTTRGT_06613!D40),"|",COLUMN(BCLCTTRGT_06613!D40),",0",",0")</f>
        <v>666097,40|4,0,0</v>
      </c>
      <c r="E40" t="str">
        <f>CONCATENATE(666035,",",ROW(BCLCTTRGT_06613!E40),"|",COLUMN(BCLCTTRGT_06613!E40),",0",",0")</f>
        <v>666035,40|5,0,0</v>
      </c>
    </row>
    <row r="41" spans="1:5" x14ac:dyDescent="0.25">
      <c r="A41" t="str">
        <f>CONCATENATE(665970,",",ROW(BCLCTTRGT_06613!A41),"|",COLUMN(BCLCTTRGT_06613!A41),",0",",0")</f>
        <v>665970,41|1,0,0</v>
      </c>
      <c r="B41" t="str">
        <f>CONCATENATE(666045,",",ROW(BCLCTTRGT_06613!B41),"|",COLUMN(BCLCTTRGT_06613!B41),",0",",0")</f>
        <v>666045,41|2,0,0</v>
      </c>
      <c r="C41" t="str">
        <f>CONCATENATE(666162,",",ROW(BCLCTTRGT_06613!C41),"|",COLUMN(BCLCTTRGT_06613!C41),",0",",0")</f>
        <v>666162,41|3,0,0</v>
      </c>
      <c r="D41" t="str">
        <f>CONCATENATE(665898,",",ROW(BCLCTTRGT_06613!D41),"|",COLUMN(BCLCTTRGT_06613!D41),",0",",0")</f>
        <v>665898,41|4,0,0</v>
      </c>
      <c r="E41" t="str">
        <f>CONCATENATE(666036,",",ROW(BCLCTTRGT_06613!E41),"|",COLUMN(BCLCTTRGT_06613!E41),",0",",0")</f>
        <v>666036,41|5,0,0</v>
      </c>
    </row>
    <row r="42" spans="1:5" x14ac:dyDescent="0.25">
      <c r="A42" t="str">
        <f>CONCATENATE(666226,",",ROW(BCLCTTRGT_06613!A42),"|",COLUMN(BCLCTTRGT_06613!A42),",0",",0")</f>
        <v>666226,42|1,0,0</v>
      </c>
      <c r="B42" t="str">
        <f>CONCATENATE(665874,",",ROW(BCLCTTRGT_06613!B42),"|",COLUMN(BCLCTTRGT_06613!B42),",0",",0")</f>
        <v>665874,42|2,0,0</v>
      </c>
      <c r="C42" t="str">
        <f>CONCATENATE(666163,",",ROW(BCLCTTRGT_06613!C42),"|",COLUMN(BCLCTTRGT_06613!C42),",0",",0")</f>
        <v>666163,42|3,0,0</v>
      </c>
      <c r="D42" t="str">
        <f>CONCATENATE(665899,",",ROW(BCLCTTRGT_06613!D42),"|",COLUMN(BCLCTTRGT_06613!D42),",0",",0")</f>
        <v>665899,42|4,0,0</v>
      </c>
      <c r="E42" t="str">
        <f>CONCATENATE(666037,",",ROW(BCLCTTRGT_06613!E42),"|",COLUMN(BCLCTTRGT_06613!E42),",0",",0")</f>
        <v>666037,42|5,0,0</v>
      </c>
    </row>
    <row r="43" spans="1:5" x14ac:dyDescent="0.25">
      <c r="A43" t="str">
        <f>CONCATENATE(666026,",",ROW(BCLCTTRGT_06613!A43),"|",COLUMN(BCLCTTRGT_06613!A43),",0",",0")</f>
        <v>666026,43|1,0,0</v>
      </c>
      <c r="B43" t="str">
        <f>CONCATENATE(666000,",",ROW(BCLCTTRGT_06613!B43),"|",COLUMN(BCLCTTRGT_06613!B43),",0",",0")</f>
        <v>666000,43|2,0,0</v>
      </c>
      <c r="C43" t="str">
        <f>CONCATENATE(666164,",",ROW(BCLCTTRGT_06613!C43),"|",COLUMN(BCLCTTRGT_06613!C43),",0",",0")</f>
        <v>666164,43|3,0,0</v>
      </c>
      <c r="D43" t="str">
        <f>CONCATENATE(665901,",",ROW(BCLCTTRGT_06613!D43),"|",COLUMN(BCLCTTRGT_06613!D43),",0",",0")</f>
        <v>665901,43|4,0,0</v>
      </c>
      <c r="E43" t="str">
        <f>CONCATENATE(666038,",",ROW(BCLCTTRGT_06613!E43),"|",COLUMN(BCLCTTRGT_06613!E43),",0",",0")</f>
        <v>666038,43|5,0,0</v>
      </c>
    </row>
    <row r="44" spans="1:5" x14ac:dyDescent="0.25">
      <c r="A44" t="str">
        <f>CONCATENATE(666027,",",ROW(BCLCTTRGT_06613!A44),"|",COLUMN(BCLCTTRGT_06613!A44),",0",",0")</f>
        <v>666027,44|1,0,0</v>
      </c>
      <c r="B44" t="str">
        <f>CONCATENATE(666046,",",ROW(BCLCTTRGT_06613!B44),"|",COLUMN(BCLCTTRGT_06613!B44),",0",",0")</f>
        <v>666046,44|2,0,0</v>
      </c>
      <c r="C44" t="str">
        <f>CONCATENATE(666165,",",ROW(BCLCTTRGT_06613!C44),"|",COLUMN(BCLCTTRGT_06613!C44),",0",",0")</f>
        <v>666165,44|3,0,0</v>
      </c>
      <c r="D44" t="str">
        <f>CONCATENATE(665902,",",ROW(BCLCTTRGT_06613!D44),"|",COLUMN(BCLCTTRGT_06613!D44),",0",",0")</f>
        <v>665902,44|4,0,0</v>
      </c>
      <c r="E44" t="str">
        <f>CONCATENATE(666039,",",ROW(BCLCTTRGT_06613!E44),"|",COLUMN(BCLCTTRGT_06613!E44),",0",",0")</f>
        <v>666039,44|5,0,0</v>
      </c>
    </row>
    <row r="45" spans="1:5" x14ac:dyDescent="0.25">
      <c r="A45" t="str">
        <f>CONCATENATE(665987,",",ROW(BCLCTTRGT_06613!A45),"|",COLUMN(BCLCTTRGT_06613!A45),",0",",0")</f>
        <v>665987,45|1,0,0</v>
      </c>
      <c r="B45" t="str">
        <f>CONCATENATE(666001,",",ROW(BCLCTTRGT_06613!B45),"|",COLUMN(BCLCTTRGT_06613!B45),",0",",0")</f>
        <v>666001,45|2,0,0</v>
      </c>
      <c r="C45" t="str">
        <f>CONCATENATE(666166,",",ROW(BCLCTTRGT_06613!C45),"|",COLUMN(BCLCTTRGT_06613!C45),",0",",0")</f>
        <v>666166,45|3,0,0</v>
      </c>
      <c r="D45" t="str">
        <f>CONCATENATE(665903,",",ROW(BCLCTTRGT_06613!D45),"|",COLUMN(BCLCTTRGT_06613!D45),",0",",0")</f>
        <v>665903,45|4,0,0</v>
      </c>
      <c r="E45" t="str">
        <f>CONCATENATE(666040,",",ROW(BCLCTTRGT_06613!E45),"|",COLUMN(BCLCTTRGT_06613!E45),",0",",0")</f>
        <v>666040,45|5,0,0</v>
      </c>
    </row>
    <row r="46" spans="1:5" x14ac:dyDescent="0.25">
      <c r="A46" t="str">
        <f>CONCATENATE(666227,",",ROW(BCLCTTRGT_06613!A46),"|",COLUMN(BCLCTTRGT_06613!A46),",0",",0")</f>
        <v>666227,46|1,0,0</v>
      </c>
      <c r="B46" t="str">
        <f>CONCATENATE(665875,",",ROW(BCLCTTRGT_06613!B46),"|",COLUMN(BCLCTTRGT_06613!B46),",0",",0")</f>
        <v>665875,46|2,0,0</v>
      </c>
      <c r="C46" t="str">
        <f>CONCATENATE(666167,",",ROW(BCLCTTRGT_06613!C46),"|",COLUMN(BCLCTTRGT_06613!C46),",0",",0")</f>
        <v>666167,46|3,0,0</v>
      </c>
      <c r="D46" t="str">
        <f>CONCATENATE(665904,",",ROW(BCLCTTRGT_06613!D46),"|",COLUMN(BCLCTTRGT_06613!D46),",0",",0")</f>
        <v>665904,46|4,0,0</v>
      </c>
      <c r="E46" t="str">
        <f>CONCATENATE(666041,",",ROW(BCLCTTRGT_06613!E46),"|",COLUMN(BCLCTTRGT_06613!E46),",0",",0")</f>
        <v>666041,46|5,0,0</v>
      </c>
    </row>
    <row r="47" spans="1:5" x14ac:dyDescent="0.25">
      <c r="A47" t="str">
        <f>CONCATENATE(666005,",",ROW(BCLCTTRGT_06613!A47),"|",COLUMN(BCLCTTRGT_06613!A47),",0",",0")</f>
        <v>666005,47|1,0,0</v>
      </c>
      <c r="B47" t="str">
        <f>CONCATENATE(666002,",",ROW(BCLCTTRGT_06613!B47),"|",COLUMN(BCLCTTRGT_06613!B47),",0",",0")</f>
        <v>666002,47|2,0,0</v>
      </c>
      <c r="C47" t="str">
        <f>CONCATENATE(666168,",",ROW(BCLCTTRGT_06613!C47),"|",COLUMN(BCLCTTRGT_06613!C47),",0",",0")</f>
        <v>666168,47|3,0,0</v>
      </c>
      <c r="D47" t="str">
        <f>CONCATENATE(665905,",",ROW(BCLCTTRGT_06613!D47),"|",COLUMN(BCLCTTRGT_06613!D47),",0",",0")</f>
        <v>665905,47|4,0,0</v>
      </c>
      <c r="E47" t="str">
        <f>CONCATENATE(666042,",",ROW(BCLCTTRGT_06613!E47),"|",COLUMN(BCLCTTRGT_06613!E47),",0",",0")</f>
        <v>666042,47|5,0,0</v>
      </c>
    </row>
    <row r="48" spans="1:5" x14ac:dyDescent="0.25">
      <c r="A48" t="str">
        <f>CONCATENATE(666228,",",ROW(BCLCTTRGT_06613!A48),"|",COLUMN(BCLCTTRGT_06613!A48),",0",",0")</f>
        <v>666228,48|1,0,0</v>
      </c>
      <c r="B48" t="str">
        <f>CONCATENATE(665876,",",ROW(BCLCTTRGT_06613!B48),"|",COLUMN(BCLCTTRGT_06613!B48),",0",",0")</f>
        <v>665876,48|2,0,0</v>
      </c>
      <c r="C48" t="str">
        <f>CONCATENATE(666169,",",ROW(BCLCTTRGT_06613!C48),"|",COLUMN(BCLCTTRGT_06613!C48),",0",",0")</f>
        <v>666169,48|3,0,0</v>
      </c>
      <c r="D48" t="str">
        <f>CONCATENATE(665906,",",ROW(BCLCTTRGT_06613!D48),"|",COLUMN(BCLCTTRGT_06613!D48),",0",",0")</f>
        <v>665906,48|4,0,0</v>
      </c>
      <c r="E48" t="str">
        <f>CONCATENATE(666043,",",ROW(BCLCTTRGT_06613!E48),"|",COLUMN(BCLCTTRGT_06613!E48),",0",",0")</f>
        <v>666043,48|5,0,0</v>
      </c>
    </row>
    <row r="49" spans="1:5" x14ac:dyDescent="0.25">
      <c r="A49" t="str">
        <f>CONCATENATE(665988,",",ROW(BCLCTTRGT_06613!A49),"|",COLUMN(BCLCTTRGT_06613!A49),",0",",0")</f>
        <v>665988,49|1,0,0</v>
      </c>
      <c r="B49" t="str">
        <f>CONCATENATE(666235,",",ROW(BCLCTTRGT_06613!B49),"|",COLUMN(BCLCTTRGT_06613!B49),",0",",0")</f>
        <v>666235,49|2,0,0</v>
      </c>
      <c r="C49" t="str">
        <f>CONCATENATE(666170,",",ROW(BCLCTTRGT_06613!C49),"|",COLUMN(BCLCTTRGT_06613!C49),",0",",0")</f>
        <v>666170,49|3,0,0</v>
      </c>
      <c r="D49" t="str">
        <f>CONCATENATE(665907,",",ROW(BCLCTTRGT_06613!D49),"|",COLUMN(BCLCTTRGT_06613!D49),",0",",0")</f>
        <v>665907,49|4,0,0</v>
      </c>
      <c r="E49" t="str">
        <f>CONCATENATE(666044,",",ROW(BCLCTTRGT_06613!E49),"|",COLUMN(BCLCTTRGT_06613!E49),",0",",0")</f>
        <v>666044,49|5,0,0</v>
      </c>
    </row>
    <row r="50" spans="1:5" x14ac:dyDescent="0.25">
      <c r="A50" t="str">
        <f>CONCATENATE(666048,",",ROW(BCLCTTRGT_06613!A50),"|",COLUMN(BCLCTTRGT_06613!A50),",0",",0")</f>
        <v>666048,50|1,0,0</v>
      </c>
      <c r="B50" t="str">
        <f>CONCATENATE(666057,",",ROW(BCLCTTRGT_06613!B50),"|",COLUMN(BCLCTTRGT_06613!B50),",0",",0")</f>
        <v>666057,50|2,0,0</v>
      </c>
      <c r="C50" t="str">
        <f>CONCATENATE(666171,",",ROW(BCLCTTRGT_06613!C50),"|",COLUMN(BCLCTTRGT_06613!C50),",0",",0")</f>
        <v>666171,50|3,0,0</v>
      </c>
      <c r="D50" t="str">
        <f>CONCATENATE(665908,",",ROW(BCLCTTRGT_06613!D50),"|",COLUMN(BCLCTTRGT_06613!D50),",0",",0")</f>
        <v>665908,50|4,0,0</v>
      </c>
      <c r="E50" t="str">
        <f>CONCATENATE(666217,",",ROW(BCLCTTRGT_06613!E50),"|",COLUMN(BCLCTTRGT_06613!E50),",0",",0")</f>
        <v>666217,50|5,0,0</v>
      </c>
    </row>
    <row r="51" spans="1:5" x14ac:dyDescent="0.25">
      <c r="A51" t="str">
        <f>CONCATENATE(666239,",",ROW(BCLCTTRGT_06613!A51),"|",COLUMN(BCLCTTRGT_06613!A51),",0",",0")</f>
        <v>666239,51|1,0,0</v>
      </c>
      <c r="B51" t="str">
        <f>CONCATENATE(666058,",",ROW(BCLCTTRGT_06613!B51),"|",COLUMN(BCLCTTRGT_06613!B51),",0",",0")</f>
        <v>666058,51|2,0,0</v>
      </c>
      <c r="C51" t="str">
        <f>CONCATENATE(666172,",",ROW(BCLCTTRGT_06613!C51),"|",COLUMN(BCLCTTRGT_06613!C51),",0",",0")</f>
        <v>666172,51|3,0,0</v>
      </c>
      <c r="D51" t="str">
        <f>CONCATENATE(665909,",",ROW(BCLCTTRGT_06613!D51),"|",COLUMN(BCLCTTRGT_06613!D51),",0",",0")</f>
        <v>665909,51|4,0,0</v>
      </c>
      <c r="E51" t="str">
        <f>CONCATENATE(666218,",",ROW(BCLCTTRGT_06613!E51),"|",COLUMN(BCLCTTRGT_06613!E51),",0",",0")</f>
        <v>666218,51|5,0,0</v>
      </c>
    </row>
    <row r="52" spans="1:5" x14ac:dyDescent="0.25">
      <c r="A52" t="str">
        <f>CONCATENATE(666006,",",ROW(BCLCTTRGT_06613!A52),"|",COLUMN(BCLCTTRGT_06613!A52),",0",",0")</f>
        <v>666006,52|1,0,0</v>
      </c>
      <c r="B52" t="s">
        <v>5</v>
      </c>
      <c r="C52" t="str">
        <f>CONCATENATE(666173,",",ROW(BCLCTTRGT_06613!C52),"|",COLUMN(BCLCTTRGT_06613!C52),",0",",0")</f>
        <v>666173,52|3,0,0</v>
      </c>
      <c r="D52" t="str">
        <f>CONCATENATE(665910,",",ROW(BCLCTTRGT_06613!D52),"|",COLUMN(BCLCTTRGT_06613!D52),",0",",0")</f>
        <v>665910,52|4,0,0</v>
      </c>
      <c r="E52" t="str">
        <f>CONCATENATE(666219,",",ROW(BCLCTTRGT_06613!E52),"|",COLUMN(BCLCTTRGT_06613!E52),",0",",0")</f>
        <v>666219,52|5,0,0</v>
      </c>
    </row>
    <row r="53" spans="1:5" x14ac:dyDescent="0.25">
      <c r="A53" t="str">
        <f>CONCATENATE(666049,",",ROW(BCLCTTRGT_06613!A53),"|",COLUMN(BCLCTTRGT_06613!A53),",0",",0")</f>
        <v>666049,53|1,0,0</v>
      </c>
      <c r="B53" t="str">
        <f>CONCATENATE(666186,",",ROW(BCLCTTRGT_06613!B53),"|",COLUMN(BCLCTTRGT_06613!B53),",0",",0")</f>
        <v>666186,53|2,0,0</v>
      </c>
      <c r="C53" t="str">
        <f>CONCATENATE(666174,",",ROW(BCLCTTRGT_06613!C53),"|",COLUMN(BCLCTTRGT_06613!C53),",0",",0")</f>
        <v>666174,53|3,0,0</v>
      </c>
      <c r="D53" t="str">
        <f>CONCATENATE(665911,",",ROW(BCLCTTRGT_06613!D53),"|",COLUMN(BCLCTTRGT_06613!D53),",0",",0")</f>
        <v>665911,53|4,0,0</v>
      </c>
      <c r="E53" t="str">
        <f>CONCATENATE(666220,",",ROW(BCLCTTRGT_06613!E53),"|",COLUMN(BCLCTTRGT_06613!E53),",0",",0")</f>
        <v>666220,53|5,0,0</v>
      </c>
    </row>
    <row r="54" spans="1:5" x14ac:dyDescent="0.25">
      <c r="A54" t="str">
        <f>CONCATENATE(666229,",",ROW(BCLCTTRGT_06613!A54),"|",COLUMN(BCLCTTRGT_06613!A54),",0",",0")</f>
        <v>666229,54|1,0,0</v>
      </c>
      <c r="B54" t="str">
        <f>CONCATENATE(666187,",",ROW(BCLCTTRGT_06613!B54),"|",COLUMN(BCLCTTRGT_06613!B54),",0",",0")</f>
        <v>666187,54|2,0,0</v>
      </c>
      <c r="C54" t="str">
        <f>CONCATENATE(666175,",",ROW(BCLCTTRGT_06613!C54),"|",COLUMN(BCLCTTRGT_06613!C54),",0",",0")</f>
        <v>666175,54|3,0,0</v>
      </c>
      <c r="D54" t="str">
        <f>CONCATENATE(665912,",",ROW(BCLCTTRGT_06613!D54),"|",COLUMN(BCLCTTRGT_06613!D54),",0",",0")</f>
        <v>665912,54|4,0,0</v>
      </c>
      <c r="E54" t="str">
        <f>CONCATENATE(666221,",",ROW(BCLCTTRGT_06613!E54),"|",COLUMN(BCLCTTRGT_06613!E54),",0",",0")</f>
        <v>666221,54|5,0,0</v>
      </c>
    </row>
    <row r="55" spans="1:5" x14ac:dyDescent="0.25">
      <c r="A55" t="str">
        <f>CONCATENATE(665989,",",ROW(BCLCTTRGT_06613!A55),"|",COLUMN(BCLCTTRGT_06613!A55),",0",",0")</f>
        <v>665989,55|1,0,0</v>
      </c>
      <c r="B55" t="str">
        <f>CONCATENATE(666003,",",ROW(BCLCTTRGT_06613!B55),"|",COLUMN(BCLCTTRGT_06613!B55),",0",",0")</f>
        <v>666003,55|2,0,0</v>
      </c>
      <c r="C55" t="str">
        <f>CONCATENATE(666176,",",ROW(BCLCTTRGT_06613!C55),"|",COLUMN(BCLCTTRGT_06613!C55),",0",",0")</f>
        <v>666176,55|3,0,0</v>
      </c>
      <c r="D55" t="str">
        <f>CONCATENATE(665913,",",ROW(BCLCTTRGT_06613!D55),"|",COLUMN(BCLCTTRGT_06613!D55),",0",",0")</f>
        <v>665913,55|4,0,0</v>
      </c>
      <c r="E55" t="str">
        <f>CONCATENATE(666098,",",ROW(BCLCTTRGT_06613!E55),"|",COLUMN(BCLCTTRGT_06613!E55),",0",",0")</f>
        <v>666098,55|5,0,0</v>
      </c>
    </row>
    <row r="56" spans="1:5" x14ac:dyDescent="0.25">
      <c r="A56" t="str">
        <f>CONCATENATE(665967,",",ROW(BCLCTTRGT_06613!A56),"|",COLUMN(BCLCTTRGT_06613!A56),",0",",0")</f>
        <v>665967,56|1,0,0</v>
      </c>
      <c r="B56" t="str">
        <f>CONCATENATE(666059,",",ROW(BCLCTTRGT_06613!B56),"|",COLUMN(BCLCTTRGT_06613!B56),",0",",0")</f>
        <v>666059,56|2,0,0</v>
      </c>
      <c r="C56" t="str">
        <f>CONCATENATE(666177,",",ROW(BCLCTTRGT_06613!C56),"|",COLUMN(BCLCTTRGT_06613!C56),",0",",0")</f>
        <v>666177,56|3,0,0</v>
      </c>
      <c r="D56" t="str">
        <f>CONCATENATE(665914,",",ROW(BCLCTTRGT_06613!D56),"|",COLUMN(BCLCTTRGT_06613!D56),",0",",0")</f>
        <v>665914,56|4,0,0</v>
      </c>
      <c r="E56" t="str">
        <f>CONCATENATE(666099,",",ROW(BCLCTTRGT_06613!E56),"|",COLUMN(BCLCTTRGT_06613!E56),",0",",0")</f>
        <v>666099,56|5,0,0</v>
      </c>
    </row>
    <row r="57" spans="1:5" x14ac:dyDescent="0.25">
      <c r="A57" t="str">
        <f>CONCATENATE(665971,",",ROW(BCLCTTRGT_06613!A57),"|",COLUMN(BCLCTTRGT_06613!A57),",0",",0")</f>
        <v>665971,57|1,0,0</v>
      </c>
      <c r="B57" t="str">
        <f>CONCATENATE(666060,",",ROW(BCLCTTRGT_06613!B57),"|",COLUMN(BCLCTTRGT_06613!B57),",0",",0")</f>
        <v>666060,57|2,0,0</v>
      </c>
      <c r="C57" t="str">
        <f>CONCATENATE(666178,",",ROW(BCLCTTRGT_06613!C57),"|",COLUMN(BCLCTTRGT_06613!C57),",0",",0")</f>
        <v>666178,57|3,0,0</v>
      </c>
      <c r="D57" t="str">
        <f>CONCATENATE(665915,",",ROW(BCLCTTRGT_06613!D57),"|",COLUMN(BCLCTTRGT_06613!D57),",0",",0")</f>
        <v>665915,57|4,0,0</v>
      </c>
      <c r="E57" t="str">
        <f>CONCATENATE(666100,",",ROW(BCLCTTRGT_06613!E57),"|",COLUMN(BCLCTTRGT_06613!E57),",0",",0")</f>
        <v>666100,57|5,0,0</v>
      </c>
    </row>
    <row r="58" spans="1:5" x14ac:dyDescent="0.25">
      <c r="A58" t="str">
        <f>CONCATENATE(666230,",",ROW(BCLCTTRGT_06613!A58),"|",COLUMN(BCLCTTRGT_06613!A58),",0",",0")</f>
        <v>666230,58|1,0,0</v>
      </c>
      <c r="B58" t="str">
        <f>CONCATENATE(665877,",",ROW(BCLCTTRGT_06613!B58),"|",COLUMN(BCLCTTRGT_06613!B58),",0",",0")</f>
        <v>665877,58|2,0,0</v>
      </c>
      <c r="C58" t="str">
        <f>CONCATENATE(666179,",",ROW(BCLCTTRGT_06613!C58),"|",COLUMN(BCLCTTRGT_06613!C58),",0",",0")</f>
        <v>666179,58|3,0,0</v>
      </c>
      <c r="D58" t="str">
        <f>CONCATENATE(665916,",",ROW(BCLCTTRGT_06613!D58),"|",COLUMN(BCLCTTRGT_06613!D58),",0",",0")</f>
        <v>665916,58|4,0,0</v>
      </c>
      <c r="E58" t="str">
        <f>CONCATENATE(666101,",",ROW(BCLCTTRGT_06613!E58),"|",COLUMN(BCLCTTRGT_06613!E58),",0",",0")</f>
        <v>666101,58|5,0,0</v>
      </c>
    </row>
    <row r="59" spans="1:5" x14ac:dyDescent="0.25">
      <c r="A59" t="str">
        <f>CONCATENATE(665884,",",ROW(BCLCTTRGT_06613!A59),"|",COLUMN(BCLCTTRGT_06613!A59),",0",",0")</f>
        <v>665884,59|1,0,0</v>
      </c>
      <c r="B59" t="s">
        <v>5</v>
      </c>
      <c r="C59" t="str">
        <f>CONCATENATE(666180,",",ROW(BCLCTTRGT_06613!C59),"|",COLUMN(BCLCTTRGT_06613!C59),",0",",0")</f>
        <v>666180,59|3,0,0</v>
      </c>
      <c r="D59" t="str">
        <f>CONCATENATE(665917,",",ROW(BCLCTTRGT_06613!D59),"|",COLUMN(BCLCTTRGT_06613!D59),",0",",0")</f>
        <v>665917,59|4,0,0</v>
      </c>
      <c r="E59" t="str">
        <f>CONCATENATE(666102,",",ROW(BCLCTTRGT_06613!E59),"|",COLUMN(BCLCTTRGT_06613!E59),",0",",0")</f>
        <v>666102,59|5,0,0</v>
      </c>
    </row>
    <row r="60" spans="1:5" x14ac:dyDescent="0.25">
      <c r="A60" t="str">
        <f>CONCATENATE(665885,",",ROW(BCLCTTRGT_06613!A60),"|",COLUMN(BCLCTTRGT_06613!A60),",0",",0")</f>
        <v>665885,60|1,0,0</v>
      </c>
      <c r="B60" t="str">
        <f>CONCATENATE(666004,",",ROW(BCLCTTRGT_06613!B60),"|",COLUMN(BCLCTTRGT_06613!B60),",0",",0")</f>
        <v>666004,60|2,0,0</v>
      </c>
      <c r="C60" t="str">
        <f>CONCATENATE(666192,",",ROW(BCLCTTRGT_06613!C60),"|",COLUMN(BCLCTTRGT_06613!C60),",0",",0")</f>
        <v>666192,60|3,0,0</v>
      </c>
      <c r="D60" t="str">
        <f>CONCATENATE(665918,",",ROW(BCLCTTRGT_06613!D60),"|",COLUMN(BCLCTTRGT_06613!D60),",0",",0")</f>
        <v>665918,60|4,0,0</v>
      </c>
      <c r="E60" t="str">
        <f>CONCATENATE(666103,",",ROW(BCLCTTRGT_06613!E60),"|",COLUMN(BCLCTTRGT_06613!E60),",0",",0")</f>
        <v>666103,60|5,0,0</v>
      </c>
    </row>
    <row r="61" spans="1:5" x14ac:dyDescent="0.25">
      <c r="A61" t="str">
        <f>CONCATENATE(666240,",",ROW(BCLCTTRGT_06613!A61),"|",COLUMN(BCLCTTRGT_06613!A61),",0",",0")</f>
        <v>666240,61|1,0,0</v>
      </c>
      <c r="B61" t="str">
        <f>CONCATENATE(666188,",",ROW(BCLCTTRGT_06613!B61),"|",COLUMN(BCLCTTRGT_06613!B61),",0",",0")</f>
        <v>666188,61|2,0,0</v>
      </c>
      <c r="C61" t="str">
        <f>CONCATENATE(666193,",",ROW(BCLCTTRGT_06613!C61),"|",COLUMN(BCLCTTRGT_06613!C61),",0",",0")</f>
        <v>666193,61|3,0,0</v>
      </c>
      <c r="D61" t="str">
        <f>CONCATENATE(665919,",",ROW(BCLCTTRGT_06613!D61),"|",COLUMN(BCLCTTRGT_06613!D61),",0",",0")</f>
        <v>665919,61|4,0,0</v>
      </c>
      <c r="E61" t="str">
        <f>CONCATENATE(666104,",",ROW(BCLCTTRGT_06613!E61),"|",COLUMN(BCLCTTRGT_06613!E61),",0",",0")</f>
        <v>666104,61|5,0,0</v>
      </c>
    </row>
    <row r="62" spans="1:5" x14ac:dyDescent="0.25">
      <c r="A62" t="str">
        <f>CONCATENATE(666050,",",ROW(BCLCTTRGT_06613!A62),"|",COLUMN(BCLCTTRGT_06613!A62),",0",",0")</f>
        <v>666050,62|1,0,0</v>
      </c>
      <c r="B62" t="str">
        <f>CONCATENATE(666236,",",ROW(BCLCTTRGT_06613!B62),"|",COLUMN(BCLCTTRGT_06613!B62),",0",",0")</f>
        <v>666236,62|2,0,0</v>
      </c>
      <c r="C62" t="str">
        <f>CONCATENATE(666194,",",ROW(BCLCTTRGT_06613!C62),"|",COLUMN(BCLCTTRGT_06613!C62),",0",",0")</f>
        <v>666194,62|3,0,0</v>
      </c>
      <c r="D62" t="str">
        <f>CONCATENATE(665920,",",ROW(BCLCTTRGT_06613!D62),"|",COLUMN(BCLCTTRGT_06613!D62),",0",",0")</f>
        <v>665920,62|4,0,0</v>
      </c>
      <c r="E62" t="str">
        <f>CONCATENATE(666105,",",ROW(BCLCTTRGT_06613!E62),"|",COLUMN(BCLCTTRGT_06613!E62),",0",",0")</f>
        <v>666105,62|5,0,0</v>
      </c>
    </row>
    <row r="63" spans="1:5" x14ac:dyDescent="0.25">
      <c r="A63" t="str">
        <f>CONCATENATE(665972,",",ROW(BCLCTTRGT_06613!A63),"|",COLUMN(BCLCTTRGT_06613!A63),",0",",0")</f>
        <v>665972,63|1,0,0</v>
      </c>
      <c r="B63" t="str">
        <f>CONCATENATE(666189,",",ROW(BCLCTTRGT_06613!B63),"|",COLUMN(BCLCTTRGT_06613!B63),",0",",0")</f>
        <v>666189,63|2,0,0</v>
      </c>
      <c r="C63" t="str">
        <f>CONCATENATE(666195,",",ROW(BCLCTTRGT_06613!C63),"|",COLUMN(BCLCTTRGT_06613!C63),",0",",0")</f>
        <v>666195,63|3,0,0</v>
      </c>
      <c r="D63" t="str">
        <f>CONCATENATE(665921,",",ROW(BCLCTTRGT_06613!D63),"|",COLUMN(BCLCTTRGT_06613!D63),",0",",0")</f>
        <v>665921,63|4,0,0</v>
      </c>
      <c r="E63" t="str">
        <f>CONCATENATE(666106,",",ROW(BCLCTTRGT_06613!E63),"|",COLUMN(BCLCTTRGT_06613!E63),",0",",0")</f>
        <v>666106,63|5,0,0</v>
      </c>
    </row>
    <row r="64" spans="1:5" x14ac:dyDescent="0.25">
      <c r="A64" t="str">
        <f>CONCATENATE(666241,",",ROW(BCLCTTRGT_06613!A64),"|",COLUMN(BCLCTTRGT_06613!A64),",0",",0")</f>
        <v>666241,64|1,0,0</v>
      </c>
      <c r="B64" t="str">
        <f>CONCATENATE(666061,",",ROW(BCLCTTRGT_06613!B64),"|",COLUMN(BCLCTTRGT_06613!B64),",0",",0")</f>
        <v>666061,64|2,0,0</v>
      </c>
      <c r="C64" t="str">
        <f>CONCATENATE(666196,",",ROW(BCLCTTRGT_06613!C64),"|",COLUMN(BCLCTTRGT_06613!C64),",0",",0")</f>
        <v>666196,64|3,0,0</v>
      </c>
      <c r="D64" t="str">
        <f>CONCATENATE(665922,",",ROW(BCLCTTRGT_06613!D64),"|",COLUMN(BCLCTTRGT_06613!D64),",0",",0")</f>
        <v>665922,64|4,0,0</v>
      </c>
      <c r="E64" t="str">
        <f>CONCATENATE(666107,",",ROW(BCLCTTRGT_06613!E64),"|",COLUMN(BCLCTTRGT_06613!E64),",0",",0")</f>
        <v>666107,64|5,0,0</v>
      </c>
    </row>
    <row r="65" spans="1:5" x14ac:dyDescent="0.25">
      <c r="A65" t="str">
        <f>CONCATENATE(666242,",",ROW(BCLCTTRGT_06613!A65),"|",COLUMN(BCLCTTRGT_06613!A65),",0",",0")</f>
        <v>666242,65|1,0,0</v>
      </c>
      <c r="B65" t="str">
        <f>CONCATENATE(666047,",",ROW(BCLCTTRGT_06613!B65),"|",COLUMN(BCLCTTRGT_06613!B65),",0",",0")</f>
        <v>666047,65|2,0,0</v>
      </c>
      <c r="C65" t="str">
        <f>CONCATENATE(666197,",",ROW(BCLCTTRGT_06613!C65),"|",COLUMN(BCLCTTRGT_06613!C65),",0",",0")</f>
        <v>666197,65|3,0,0</v>
      </c>
      <c r="D65" t="str">
        <f>CONCATENATE(665923,",",ROW(BCLCTTRGT_06613!D65),"|",COLUMN(BCLCTTRGT_06613!D65),",0",",0")</f>
        <v>665923,65|4,0,0</v>
      </c>
      <c r="E65" t="str">
        <f>CONCATENATE(666108,",",ROW(BCLCTTRGT_06613!E65),"|",COLUMN(BCLCTTRGT_06613!E65),",0",",0")</f>
        <v>666108,65|5,0,0</v>
      </c>
    </row>
    <row r="66" spans="1:5" x14ac:dyDescent="0.25">
      <c r="A66" t="str">
        <f>CONCATENATE(665866,",",ROW(BCLCTTRGT_06613!A66),"|",COLUMN(BCLCTTRGT_06613!A66),",0",",0")</f>
        <v>665866,66|1,0,0</v>
      </c>
      <c r="B66" t="str">
        <f>CONCATENATE(665878,",",ROW(BCLCTTRGT_06613!B66),"|",COLUMN(BCLCTTRGT_06613!B66),",0",",0")</f>
        <v>665878,66|2,0,0</v>
      </c>
      <c r="C66" t="str">
        <f>CONCATENATE(666198,",",ROW(BCLCTTRGT_06613!C66),"|",COLUMN(BCLCTTRGT_06613!C66),",0",",0")</f>
        <v>666198,66|3,0,0</v>
      </c>
      <c r="D66" t="str">
        <f>CONCATENATE(665924,",",ROW(BCLCTTRGT_06613!D66),"|",COLUMN(BCLCTTRGT_06613!D66),",0",",0")</f>
        <v>665924,66|4,0,0</v>
      </c>
      <c r="E66" t="str">
        <f>CONCATENATE(666109,",",ROW(BCLCTTRGT_06613!E66),"|",COLUMN(BCLCTTRGT_06613!E66),",0",",0")</f>
        <v>666109,66|5,0,0</v>
      </c>
    </row>
    <row r="67" spans="1:5" x14ac:dyDescent="0.25">
      <c r="A67" t="str">
        <f>CONCATENATE(665867,",",ROW(BCLCTTRGT_06613!A67),"|",COLUMN(BCLCTTRGT_06613!A67),",0",",0")</f>
        <v>665867,67|1,0,0</v>
      </c>
      <c r="B67" t="str">
        <f>CONCATENATE(666190,",",ROW(BCLCTTRGT_06613!B67),"|",COLUMN(BCLCTTRGT_06613!B67),",0",",0")</f>
        <v>666190,67|2,0,0</v>
      </c>
      <c r="C67" t="str">
        <f>CONCATENATE(666199,",",ROW(BCLCTTRGT_06613!C67),"|",COLUMN(BCLCTTRGT_06613!C67),",0",",0")</f>
        <v>666199,67|3,0,0</v>
      </c>
      <c r="D67" t="str">
        <f>CONCATENATE(665925,",",ROW(BCLCTTRGT_06613!D67),"|",COLUMN(BCLCTTRGT_06613!D67),",0",",0")</f>
        <v>665925,67|4,0,0</v>
      </c>
      <c r="E67" t="str">
        <f>CONCATENATE(666110,",",ROW(BCLCTTRGT_06613!E67),"|",COLUMN(BCLCTTRGT_06613!E67),",0",",0")</f>
        <v>666110,67|5,0,0</v>
      </c>
    </row>
    <row r="68" spans="1:5" x14ac:dyDescent="0.25">
      <c r="A68" t="str">
        <f>CONCATENATE(666007,",",ROW(BCLCTTRGT_06613!A68),"|",COLUMN(BCLCTTRGT_06613!A68),",0",",0")</f>
        <v>666007,68|1,0,0</v>
      </c>
      <c r="B68" t="str">
        <f>CONCATENATE(665981,",",ROW(BCLCTTRGT_06613!B68),"|",COLUMN(BCLCTTRGT_06613!B68),",0",",0")</f>
        <v>665981,68|2,0,0</v>
      </c>
      <c r="C68" t="str">
        <f>CONCATENATE(666200,",",ROW(BCLCTTRGT_06613!C68),"|",COLUMN(BCLCTTRGT_06613!C68),",0",",0")</f>
        <v>666200,68|3,0,0</v>
      </c>
      <c r="D68" t="str">
        <f>CONCATENATE(665926,",",ROW(BCLCTTRGT_06613!D68),"|",COLUMN(BCLCTTRGT_06613!D68),",0",",0")</f>
        <v>665926,68|4,0,0</v>
      </c>
      <c r="E68" t="str">
        <f>CONCATENATE(666111,",",ROW(BCLCTTRGT_06613!E68),"|",COLUMN(BCLCTTRGT_06613!E68),",0",",0")</f>
        <v>666111,68|5,0,0</v>
      </c>
    </row>
    <row r="69" spans="1:5" x14ac:dyDescent="0.25">
      <c r="A69" t="str">
        <f>CONCATENATE(666051,",",ROW(BCLCTTRGT_06613!A69),"|",COLUMN(BCLCTTRGT_06613!A69),",0",",0")</f>
        <v>666051,69|1,0,0</v>
      </c>
      <c r="B69" t="str">
        <f>CONCATENATE(666062,",",ROW(BCLCTTRGT_06613!B69),"|",COLUMN(BCLCTTRGT_06613!B69),",0",",0")</f>
        <v>666062,69|2,0,0</v>
      </c>
      <c r="C69" t="str">
        <f>CONCATENATE(666201,",",ROW(BCLCTTRGT_06613!C69),"|",COLUMN(BCLCTTRGT_06613!C69),",0",",0")</f>
        <v>666201,69|3,0,0</v>
      </c>
      <c r="D69" t="str">
        <f>CONCATENATE(665927,",",ROW(BCLCTTRGT_06613!D69),"|",COLUMN(BCLCTTRGT_06613!D69),",0",",0")</f>
        <v>665927,69|4,0,0</v>
      </c>
      <c r="E69" t="str">
        <f>CONCATENATE(666112,",",ROW(BCLCTTRGT_06613!E69),"|",COLUMN(BCLCTTRGT_06613!E69),",0",",0")</f>
        <v>666112,69|5,0,0</v>
      </c>
    </row>
    <row r="70" spans="1:5" x14ac:dyDescent="0.25">
      <c r="A70" t="str">
        <f>CONCATENATE(665990,",",ROW(BCLCTTRGT_06613!A70),"|",COLUMN(BCLCTTRGT_06613!A70),",0",",0")</f>
        <v>665990,70|1,0,0</v>
      </c>
      <c r="B70" t="str">
        <f>CONCATENATE(666237,",",ROW(BCLCTTRGT_06613!B70),"|",COLUMN(BCLCTTRGT_06613!B70),",0",",0")</f>
        <v>666237,70|2,0,0</v>
      </c>
      <c r="C70" t="str">
        <f>CONCATENATE(666202,",",ROW(BCLCTTRGT_06613!C70),"|",COLUMN(BCLCTTRGT_06613!C70),",0",",0")</f>
        <v>666202,70|3,0,0</v>
      </c>
      <c r="D70" t="str">
        <f>CONCATENATE(665928,",",ROW(BCLCTTRGT_06613!D70),"|",COLUMN(BCLCTTRGT_06613!D70),",0",",0")</f>
        <v>665928,70|4,0,0</v>
      </c>
      <c r="E70" t="str">
        <f>CONCATENATE(666113,",",ROW(BCLCTTRGT_06613!E70),"|",COLUMN(BCLCTTRGT_06613!E70),",0",",0")</f>
        <v>666113,70|5,0,0</v>
      </c>
    </row>
    <row r="71" spans="1:5" x14ac:dyDescent="0.25">
      <c r="A71" t="str">
        <f>CONCATENATE(665868,",",ROW(BCLCTTRGT_06613!A71),"|",COLUMN(BCLCTTRGT_06613!A71),",0",",0")</f>
        <v>665868,71|1,0,0</v>
      </c>
      <c r="B71" t="str">
        <f>CONCATENATE(665879,",",ROW(BCLCTTRGT_06613!B71),"|",COLUMN(BCLCTTRGT_06613!B71),",0",",0")</f>
        <v>665879,71|2,0,0</v>
      </c>
      <c r="C71" t="str">
        <f>CONCATENATE(666203,",",ROW(BCLCTTRGT_06613!C71),"|",COLUMN(BCLCTTRGT_06613!C71),",0",",0")</f>
        <v>666203,71|3,0,0</v>
      </c>
      <c r="D71" t="str">
        <f>CONCATENATE(665929,",",ROW(BCLCTTRGT_06613!D71),"|",COLUMN(BCLCTTRGT_06613!D71),",0",",0")</f>
        <v>665929,71|4,0,0</v>
      </c>
      <c r="E71" t="str">
        <f>CONCATENATE(666114,",",ROW(BCLCTTRGT_06613!E71),"|",COLUMN(BCLCTTRGT_06613!E71),",0",",0")</f>
        <v>666114,71|5,0,0</v>
      </c>
    </row>
    <row r="72" spans="1:5" x14ac:dyDescent="0.25">
      <c r="A72" t="str">
        <f>CONCATENATE(665891,",",ROW(BCLCTTRGT_06613!A72),"|",COLUMN(BCLCTTRGT_06613!A72),",0",",0")</f>
        <v>665891,72|1,0,0</v>
      </c>
      <c r="B72" t="str">
        <f>CONCATENATE(665880,",",ROW(BCLCTTRGT_06613!B72),"|",COLUMN(BCLCTTRGT_06613!B72),",0",",0")</f>
        <v>665880,72|2,0,0</v>
      </c>
      <c r="C72" t="str">
        <f>CONCATENATE(666204,",",ROW(BCLCTTRGT_06613!C72),"|",COLUMN(BCLCTTRGT_06613!C72),",0",",0")</f>
        <v>666204,72|3,0,0</v>
      </c>
      <c r="D72" t="str">
        <f>CONCATENATE(665930,",",ROW(BCLCTTRGT_06613!D72),"|",COLUMN(BCLCTTRGT_06613!D72),",0",",0")</f>
        <v>665930,72|4,0,0</v>
      </c>
      <c r="E72" t="str">
        <f>CONCATENATE(666115,",",ROW(BCLCTTRGT_06613!E72),"|",COLUMN(BCLCTTRGT_06613!E72),",0",",0")</f>
        <v>666115,72|5,0,0</v>
      </c>
    </row>
    <row r="73" spans="1:5" x14ac:dyDescent="0.25">
      <c r="A73" t="str">
        <f>CONCATENATE(665892,",",ROW(BCLCTTRGT_06613!A73),"|",COLUMN(BCLCTTRGT_06613!A73),",0",",0")</f>
        <v>665892,73|1,0,0</v>
      </c>
      <c r="B73" t="str">
        <f>CONCATENATE(665881,",",ROW(BCLCTTRGT_06613!B73),"|",COLUMN(BCLCTTRGT_06613!B73),",0",",0")</f>
        <v>665881,73|2,0,0</v>
      </c>
      <c r="C73" t="str">
        <f>CONCATENATE(666205,",",ROW(BCLCTTRGT_06613!C73),"|",COLUMN(BCLCTTRGT_06613!C73),",0",",0")</f>
        <v>666205,73|3,0,0</v>
      </c>
      <c r="D73" t="str">
        <f>CONCATENATE(665931,",",ROW(BCLCTTRGT_06613!D73),"|",COLUMN(BCLCTTRGT_06613!D73),",0",",0")</f>
        <v>665931,73|4,0,0</v>
      </c>
      <c r="E73" t="str">
        <f>CONCATENATE(666116,",",ROW(BCLCTTRGT_06613!E73),"|",COLUMN(BCLCTTRGT_06613!E73),",0",",0")</f>
        <v>666116,73|5,0,0</v>
      </c>
    </row>
    <row r="74" spans="1:5" x14ac:dyDescent="0.25">
      <c r="A74" t="str">
        <f>CONCATENATE(665886,",",ROW(BCLCTTRGT_06613!A74),"|",COLUMN(BCLCTTRGT_06613!A74),",0",",0")</f>
        <v>665886,74|1,0,0</v>
      </c>
      <c r="B74" t="str">
        <f>CONCATENATE(666191,",",ROW(BCLCTTRGT_06613!B74),"|",COLUMN(BCLCTTRGT_06613!B74),",0",",0")</f>
        <v>666191,74|2,0,0</v>
      </c>
      <c r="C74" t="str">
        <f>CONCATENATE(666206,",",ROW(BCLCTTRGT_06613!C74),"|",COLUMN(BCLCTTRGT_06613!C74),",0",",0")</f>
        <v>666206,74|3,0,0</v>
      </c>
      <c r="D74" t="str">
        <f>CONCATENATE(665932,",",ROW(BCLCTTRGT_06613!D74),"|",COLUMN(BCLCTTRGT_06613!D74),",0",",0")</f>
        <v>665932,74|4,0,0</v>
      </c>
      <c r="E74" t="str">
        <f>CONCATENATE(666117,",",ROW(BCLCTTRGT_06613!E74),"|",COLUMN(BCLCTTRGT_06613!E74),",0",",0")</f>
        <v>666117,74|5,0,0</v>
      </c>
    </row>
    <row r="75" spans="1:5" x14ac:dyDescent="0.25">
      <c r="A75" t="str">
        <f>CONCATENATE(665973,",",ROW(BCLCTTRGT_06613!A75),"|",COLUMN(BCLCTTRGT_06613!A75),",0",",0")</f>
        <v>665973,75|1,0,0</v>
      </c>
      <c r="B75" t="str">
        <f>CONCATENATE(666238,",",ROW(BCLCTTRGT_06613!B75),"|",COLUMN(BCLCTTRGT_06613!B75),",0",",0")</f>
        <v>666238,75|2,0,0</v>
      </c>
      <c r="C75" t="str">
        <f>CONCATENATE(666207,",",ROW(BCLCTTRGT_06613!C75),"|",COLUMN(BCLCTTRGT_06613!C75),",0",",0")</f>
        <v>666207,75|3,0,0</v>
      </c>
      <c r="D75" t="str">
        <f>CONCATENATE(665933,",",ROW(BCLCTTRGT_06613!D75),"|",COLUMN(BCLCTTRGT_06613!D75),",0",",0")</f>
        <v>665933,75|4,0,0</v>
      </c>
      <c r="E75" t="str">
        <f>CONCATENATE(666118,",",ROW(BCLCTTRGT_06613!E75),"|",COLUMN(BCLCTTRGT_06613!E75),",0",",0")</f>
        <v>666118,75|5,0,0</v>
      </c>
    </row>
    <row r="76" spans="1:5" x14ac:dyDescent="0.25">
      <c r="A76" t="str">
        <f>CONCATENATE(666181,",",ROW(BCLCTTRGT_06613!A76),"|",COLUMN(BCLCTTRGT_06613!A76),",0",",0")</f>
        <v>666181,76|1,0,0</v>
      </c>
      <c r="B76" t="str">
        <f>CONCATENATE(666008,",",ROW(BCLCTTRGT_06613!B76),"|",COLUMN(BCLCTTRGT_06613!B76),",0",",0")</f>
        <v>666008,76|2,0,0</v>
      </c>
      <c r="C76" t="str">
        <f>CONCATENATE(666209,",",ROW(BCLCTTRGT_06613!C76),"|",COLUMN(BCLCTTRGT_06613!C76),",0",",0")</f>
        <v>666209,76|3,0,0</v>
      </c>
      <c r="D76" t="str">
        <f>CONCATENATE(665935,",",ROW(BCLCTTRGT_06613!D76),"|",COLUMN(BCLCTTRGT_06613!D76),",0",",0")</f>
        <v>665935,76|4,0,0</v>
      </c>
      <c r="E76" t="str">
        <f>CONCATENATE(666120,",",ROW(BCLCTTRGT_06613!E76),"|",COLUMN(BCLCTTRGT_06613!E76),",0",",0")</f>
        <v>666120,76|5,0,0</v>
      </c>
    </row>
    <row r="77" spans="1:5" x14ac:dyDescent="0.25">
      <c r="A77" t="str">
        <f>CONCATENATE(665887,",",ROW(BCLCTTRGT_06613!A77),"|",COLUMN(BCLCTTRGT_06613!A77),",0",",0")</f>
        <v>665887,77|1,0,0</v>
      </c>
      <c r="B77" t="str">
        <f>CONCATENATE(665883,",",ROW(BCLCTTRGT_06613!B77),"|",COLUMN(BCLCTTRGT_06613!B77),",0",",0")</f>
        <v>665883,77|2,0,0</v>
      </c>
      <c r="C77" t="str">
        <f>CONCATENATE(666210,",",ROW(BCLCTTRGT_06613!C77),"|",COLUMN(BCLCTTRGT_06613!C77),",0",",0")</f>
        <v>666210,77|3,0,0</v>
      </c>
      <c r="D77" t="str">
        <f>CONCATENATE(665936,",",ROW(BCLCTTRGT_06613!D77),"|",COLUMN(BCLCTTRGT_06613!D77),",0",",0")</f>
        <v>665936,77|4,0,0</v>
      </c>
      <c r="E77" t="str">
        <f>CONCATENATE(666121,",",ROW(BCLCTTRGT_06613!E77),"|",COLUMN(BCLCTTRGT_06613!E77),",0",",0")</f>
        <v>666121,77|5,0,0</v>
      </c>
    </row>
    <row r="78" spans="1:5" x14ac:dyDescent="0.25">
      <c r="A78" t="str">
        <f>CONCATENATE(666231,",",ROW(BCLCTTRGT_06613!A78),"|",COLUMN(BCLCTTRGT_06613!A78),",0",",0")</f>
        <v>666231,78|1,0,0</v>
      </c>
      <c r="B78" t="str">
        <f>CONCATENATE(665882,",",ROW(BCLCTTRGT_06613!B78),"|",COLUMN(BCLCTTRGT_06613!B78),",0",",0")</f>
        <v>665882,78|2,0,0</v>
      </c>
      <c r="C78" t="str">
        <f>CONCATENATE(666208,",",ROW(BCLCTTRGT_06613!C78),"|",COLUMN(BCLCTTRGT_06613!C78),",0",",0")</f>
        <v>666208,78|3,0,0</v>
      </c>
      <c r="D78" t="str">
        <f>CONCATENATE(665934,",",ROW(BCLCTTRGT_06613!D78),"|",COLUMN(BCLCTTRGT_06613!D78),",0",",0")</f>
        <v>665934,78|4,0,0</v>
      </c>
      <c r="E78" t="str">
        <f>CONCATENATE(666119,",",ROW(BCLCTTRGT_06613!E78),"|",COLUMN(BCLCTTRGT_06613!E78),",0",",0")</f>
        <v>666119,78|5,0,0</v>
      </c>
    </row>
    <row r="79" spans="1:5" x14ac:dyDescent="0.25">
      <c r="A79" t="str">
        <f>CONCATENATE(666028,",",ROW(BCLCTTRGT_06613!A79),"|",COLUMN(BCLCTTRGT_06613!A79),",0",",0")</f>
        <v>666028,79|1,0,0</v>
      </c>
      <c r="B79" t="str">
        <f>CONCATENATE(665900,",",ROW(BCLCTTRGT_06613!B79),"|",COLUMN(BCLCTTRGT_06613!B79),",0",",0")</f>
        <v>665900,79|2,0,0</v>
      </c>
      <c r="C79" t="str">
        <f>CONCATENATE(666089,",",ROW(BCLCTTRGT_06613!C79),"|",COLUMN(BCLCTTRGT_06613!C79),",0",",0")</f>
        <v>666089,79|3,0,0</v>
      </c>
      <c r="D79" t="str">
        <f>CONCATENATE(665965,",",ROW(BCLCTTRGT_06613!D79),"|",COLUMN(BCLCTTRGT_06613!D79),",0",",0")</f>
        <v>665965,79|4,0,0</v>
      </c>
      <c r="E79" t="str">
        <f>CONCATENATE(666151,",",ROW(BCLCTTRGT_06613!E79),"|",COLUMN(BCLCTTRGT_06613!E79),",0",",0")</f>
        <v>666151,79|5,0,0</v>
      </c>
    </row>
    <row r="80" spans="1:5" x14ac:dyDescent="0.25">
      <c r="A80" t="str">
        <f>CONCATENATE(666153,",",ROW(BCLCTTRGT_06613!A80),"|",COLUMN(BCLCTTRGT_06613!A80),",0",",0")</f>
        <v>666153,80|1,0,0</v>
      </c>
      <c r="B80" t="str">
        <f>CONCATENATE(666154,",",ROW(BCLCTTRGT_06613!B80),"|",COLUMN(BCLCTTRGT_06613!B80),",0",",0")</f>
        <v>666154,80|2,0,0</v>
      </c>
      <c r="C80" t="str">
        <f>CONCATENATE(666090,",",ROW(BCLCTTRGT_06613!C80),"|",COLUMN(BCLCTTRGT_06613!C80),",0",",0")</f>
        <v>666090,80|3,0,0</v>
      </c>
      <c r="D80" t="str">
        <f>CONCATENATE(665966,",",ROW(BCLCTTRGT_06613!D80),"|",COLUMN(BCLCTTRGT_06613!D80),",0",",0")</f>
        <v>665966,80|4,0,0</v>
      </c>
      <c r="E80" t="str">
        <f>CONCATENATE(666152,",",ROW(BCLCTTRGT_06613!E80),"|",COLUMN(BCLCTTRGT_06613!E80),",0",",0")</f>
        <v>666152,80|5,0,0</v>
      </c>
    </row>
  </sheetData>
  <sheetProtection password="CB7D"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40"/>
  <sheetViews>
    <sheetView workbookViewId="0">
      <selection activeCell="A3" sqref="A3:A40"/>
    </sheetView>
  </sheetViews>
  <sheetFormatPr defaultRowHeight="15" x14ac:dyDescent="0.25"/>
  <cols>
    <col min="1" max="1" width="31.28515625" bestFit="1" customWidth="1"/>
    <col min="2" max="5" width="26.140625" bestFit="1" customWidth="1"/>
  </cols>
  <sheetData>
    <row r="1" spans="1:5" ht="20.25" x14ac:dyDescent="0.3">
      <c r="A1" s="1624" t="s">
        <v>20</v>
      </c>
      <c r="B1" s="1624" t="s">
        <v>5</v>
      </c>
      <c r="C1" s="1624" t="s">
        <v>5</v>
      </c>
      <c r="D1" s="1624" t="s">
        <v>5</v>
      </c>
      <c r="E1" s="1624" t="s">
        <v>5</v>
      </c>
    </row>
    <row r="2" spans="1:5" ht="18.75" x14ac:dyDescent="0.25">
      <c r="A2" s="1422" t="s">
        <v>387</v>
      </c>
      <c r="B2" s="1422" t="s">
        <v>31</v>
      </c>
      <c r="C2" s="1422" t="s">
        <v>32</v>
      </c>
      <c r="D2" s="1422" t="s">
        <v>388</v>
      </c>
      <c r="E2" s="1422" t="s">
        <v>389</v>
      </c>
    </row>
    <row r="3" spans="1:5" ht="66" x14ac:dyDescent="0.25">
      <c r="A3" s="1489" t="s">
        <v>590</v>
      </c>
      <c r="B3" s="1421" t="s">
        <v>5</v>
      </c>
      <c r="C3" s="1515"/>
      <c r="D3" s="2266" t="s">
        <v>5</v>
      </c>
      <c r="E3" s="2267" t="s">
        <v>5</v>
      </c>
    </row>
    <row r="4" spans="1:5" ht="49.5" x14ac:dyDescent="0.25">
      <c r="A4" s="1477" t="s">
        <v>600</v>
      </c>
      <c r="B4" s="1430" t="s">
        <v>224</v>
      </c>
      <c r="C4" s="1508"/>
      <c r="D4" s="2268">
        <v>1311085295280</v>
      </c>
      <c r="E4" s="2269">
        <v>2892439829440</v>
      </c>
    </row>
    <row r="5" spans="1:5" ht="49.5" x14ac:dyDescent="0.25">
      <c r="A5" s="1440" t="s">
        <v>574</v>
      </c>
      <c r="B5" s="1471" t="s">
        <v>81</v>
      </c>
      <c r="C5" s="1532"/>
      <c r="D5" s="2270">
        <v>-1029827003310</v>
      </c>
      <c r="E5" s="2271">
        <v>-2820119654090</v>
      </c>
    </row>
    <row r="6" spans="1:5" ht="49.5" x14ac:dyDescent="0.25">
      <c r="A6" s="1441" t="s">
        <v>572</v>
      </c>
      <c r="B6" s="1473" t="s">
        <v>336</v>
      </c>
      <c r="C6" s="1533"/>
      <c r="D6" s="2272" t="s">
        <v>5</v>
      </c>
      <c r="E6" s="2273" t="s">
        <v>5</v>
      </c>
    </row>
    <row r="7" spans="1:5" ht="49.5" x14ac:dyDescent="0.25">
      <c r="A7" s="1442" t="s">
        <v>706</v>
      </c>
      <c r="B7" s="1453" t="s">
        <v>337</v>
      </c>
      <c r="C7" s="1444"/>
      <c r="D7" s="2274" t="s">
        <v>5</v>
      </c>
      <c r="E7" s="2275" t="s">
        <v>5</v>
      </c>
    </row>
    <row r="8" spans="1:5" ht="49.5" x14ac:dyDescent="0.25">
      <c r="A8" s="1443" t="s">
        <v>601</v>
      </c>
      <c r="B8" s="1499" t="s">
        <v>372</v>
      </c>
      <c r="C8" s="1504"/>
      <c r="D8" s="2276" t="s">
        <v>5</v>
      </c>
      <c r="E8" s="2277" t="s">
        <v>5</v>
      </c>
    </row>
    <row r="9" spans="1:5" ht="16.5" x14ac:dyDescent="0.25">
      <c r="A9" s="1488" t="s">
        <v>40</v>
      </c>
      <c r="B9" s="1482" t="s">
        <v>115</v>
      </c>
      <c r="C9" s="1472" t="s">
        <v>80</v>
      </c>
      <c r="D9" s="1474" t="s">
        <v>224</v>
      </c>
      <c r="E9" s="1484" t="s">
        <v>81</v>
      </c>
    </row>
    <row r="10" spans="1:5" ht="49.5" x14ac:dyDescent="0.25">
      <c r="A10" s="1445" t="s">
        <v>588</v>
      </c>
      <c r="B10" s="1500" t="s">
        <v>340</v>
      </c>
      <c r="C10" s="1505"/>
      <c r="D10" s="2278" t="s">
        <v>5</v>
      </c>
      <c r="E10" s="2279" t="s">
        <v>5</v>
      </c>
    </row>
    <row r="11" spans="1:5" ht="66" x14ac:dyDescent="0.25">
      <c r="A11" s="1448" t="s">
        <v>591</v>
      </c>
      <c r="B11" s="1454" t="s">
        <v>341</v>
      </c>
      <c r="C11" s="1511"/>
      <c r="D11" s="2280">
        <v>1427398921712</v>
      </c>
      <c r="E11" s="2281">
        <v>4408525484715</v>
      </c>
    </row>
    <row r="12" spans="1:5" ht="49.5" x14ac:dyDescent="0.25">
      <c r="A12" s="1446" t="s">
        <v>707</v>
      </c>
      <c r="B12" s="1501" t="s">
        <v>373</v>
      </c>
      <c r="C12" s="1506"/>
      <c r="D12" s="2282">
        <v>-1712630070222</v>
      </c>
      <c r="E12" s="2283">
        <v>-4393359491932</v>
      </c>
    </row>
    <row r="13" spans="1:5" ht="66" x14ac:dyDescent="0.25">
      <c r="A13" s="1485" t="s">
        <v>712</v>
      </c>
      <c r="B13" s="1455" t="s">
        <v>362</v>
      </c>
      <c r="C13" s="1536"/>
      <c r="D13" s="2284" t="s">
        <v>5</v>
      </c>
      <c r="E13" s="2285" t="s">
        <v>5</v>
      </c>
    </row>
    <row r="14" spans="1:5" ht="49.5" x14ac:dyDescent="0.25">
      <c r="A14" s="1424" t="s">
        <v>701</v>
      </c>
      <c r="B14" s="1456" t="s">
        <v>338</v>
      </c>
      <c r="C14" s="1512"/>
      <c r="D14" s="2286" t="s">
        <v>5</v>
      </c>
      <c r="E14" s="2287" t="s">
        <v>5</v>
      </c>
    </row>
    <row r="15" spans="1:5" ht="49.5" x14ac:dyDescent="0.25">
      <c r="A15" s="1426" t="s">
        <v>703</v>
      </c>
      <c r="B15" s="1463" t="s">
        <v>375</v>
      </c>
      <c r="C15" s="1514"/>
      <c r="D15" s="2288" t="s">
        <v>5</v>
      </c>
      <c r="E15" s="2289" t="s">
        <v>5</v>
      </c>
    </row>
    <row r="16" spans="1:5" ht="49.5" x14ac:dyDescent="0.25">
      <c r="A16" s="1425" t="s">
        <v>702</v>
      </c>
      <c r="B16" s="1436" t="s">
        <v>374</v>
      </c>
      <c r="C16" s="1503"/>
      <c r="D16" s="2290" t="s">
        <v>5</v>
      </c>
      <c r="E16" s="2291" t="s">
        <v>5</v>
      </c>
    </row>
    <row r="17" spans="1:5" ht="49.5" x14ac:dyDescent="0.25">
      <c r="A17" s="1447" t="s">
        <v>708</v>
      </c>
      <c r="B17" s="1502" t="s">
        <v>343</v>
      </c>
      <c r="C17" s="1507"/>
      <c r="D17" s="2292" t="s">
        <v>5</v>
      </c>
      <c r="E17" s="2293" t="s">
        <v>5</v>
      </c>
    </row>
    <row r="18" spans="1:5" ht="49.5" x14ac:dyDescent="0.25">
      <c r="A18" s="1480" t="s">
        <v>711</v>
      </c>
      <c r="B18" s="1475" t="s">
        <v>639</v>
      </c>
      <c r="C18" s="1534"/>
      <c r="D18" s="2294">
        <v>8554159176</v>
      </c>
      <c r="E18" s="2295">
        <v>35957071440</v>
      </c>
    </row>
    <row r="19" spans="1:5" ht="49.5" x14ac:dyDescent="0.25">
      <c r="A19" s="1449" t="s">
        <v>709</v>
      </c>
      <c r="B19" s="1476" t="s">
        <v>609</v>
      </c>
      <c r="C19" s="1535"/>
      <c r="D19" s="2296">
        <v>-8554159176</v>
      </c>
      <c r="E19" s="2297">
        <v>-35957071440</v>
      </c>
    </row>
    <row r="20" spans="1:5" ht="51.75" x14ac:dyDescent="0.25">
      <c r="A20" s="1490" t="s">
        <v>713</v>
      </c>
      <c r="B20" s="1468" t="s">
        <v>529</v>
      </c>
      <c r="C20" s="1529"/>
      <c r="D20" s="2298">
        <v>-3972856540</v>
      </c>
      <c r="E20" s="2299">
        <v>87486168133</v>
      </c>
    </row>
    <row r="21" spans="1:5" ht="66" x14ac:dyDescent="0.25">
      <c r="A21" s="1491" t="s">
        <v>576</v>
      </c>
      <c r="B21" s="1457" t="s">
        <v>516</v>
      </c>
      <c r="C21" s="1513"/>
      <c r="D21" s="2300">
        <v>47448284830</v>
      </c>
      <c r="E21" s="2301">
        <v>39405195603</v>
      </c>
    </row>
    <row r="22" spans="1:5" ht="33" x14ac:dyDescent="0.25">
      <c r="A22" s="1492" t="s">
        <v>577</v>
      </c>
      <c r="B22" s="1437" t="s">
        <v>517</v>
      </c>
      <c r="C22" s="1431"/>
      <c r="D22" s="2302">
        <v>47448284830</v>
      </c>
      <c r="E22" s="2303">
        <v>39405195603</v>
      </c>
    </row>
    <row r="23" spans="1:5" ht="66" x14ac:dyDescent="0.25">
      <c r="A23" s="1493" t="s">
        <v>578</v>
      </c>
      <c r="B23" s="1438" t="s">
        <v>530</v>
      </c>
      <c r="C23" s="1432"/>
      <c r="D23" s="2304">
        <v>38006071730</v>
      </c>
      <c r="E23" s="2305">
        <v>39404195603</v>
      </c>
    </row>
    <row r="24" spans="1:5" ht="33" x14ac:dyDescent="0.25">
      <c r="A24" s="1483" t="s">
        <v>579</v>
      </c>
      <c r="B24" s="1469" t="s">
        <v>530</v>
      </c>
      <c r="C24" s="1530"/>
      <c r="D24" s="2306" t="s">
        <v>5</v>
      </c>
      <c r="E24" s="2307" t="s">
        <v>5</v>
      </c>
    </row>
    <row r="25" spans="1:5" ht="49.5" x14ac:dyDescent="0.25">
      <c r="A25" s="1450" t="s">
        <v>584</v>
      </c>
      <c r="B25" s="1458" t="s">
        <v>527</v>
      </c>
      <c r="C25" s="1509"/>
      <c r="D25" s="2308" t="s">
        <v>5</v>
      </c>
      <c r="E25" s="2309" t="s">
        <v>5</v>
      </c>
    </row>
    <row r="26" spans="1:5" ht="49.5" x14ac:dyDescent="0.25">
      <c r="A26" s="1427" t="s">
        <v>583</v>
      </c>
      <c r="B26" s="1439" t="s">
        <v>585</v>
      </c>
      <c r="C26" s="1423"/>
      <c r="D26" s="2310">
        <v>9441213100</v>
      </c>
      <c r="E26" s="2311">
        <v>0</v>
      </c>
    </row>
    <row r="27" spans="1:5" ht="49.5" x14ac:dyDescent="0.25">
      <c r="A27" s="1470" t="s">
        <v>710</v>
      </c>
      <c r="B27" s="1464" t="s">
        <v>581</v>
      </c>
      <c r="C27" s="1531"/>
      <c r="D27" s="2312">
        <v>1000000</v>
      </c>
      <c r="E27" s="2313">
        <v>1000000</v>
      </c>
    </row>
    <row r="28" spans="1:5" ht="33" x14ac:dyDescent="0.25">
      <c r="A28" s="1486" t="s">
        <v>579</v>
      </c>
      <c r="B28" s="1467" t="s">
        <v>581</v>
      </c>
      <c r="C28" s="1528"/>
      <c r="D28" s="2314" t="s">
        <v>5</v>
      </c>
      <c r="E28" s="2315" t="s">
        <v>5</v>
      </c>
    </row>
    <row r="29" spans="1:5" ht="33" x14ac:dyDescent="0.25">
      <c r="A29" s="1451" t="s">
        <v>537</v>
      </c>
      <c r="B29" s="1459" t="s">
        <v>603</v>
      </c>
      <c r="C29" s="1510"/>
      <c r="D29" s="2316" t="s">
        <v>5</v>
      </c>
      <c r="E29" s="2317" t="s">
        <v>5</v>
      </c>
    </row>
    <row r="30" spans="1:5" ht="49.5" x14ac:dyDescent="0.25">
      <c r="A30" s="1433" t="s">
        <v>515</v>
      </c>
      <c r="B30" s="1460" t="s">
        <v>604</v>
      </c>
      <c r="C30" s="1537"/>
      <c r="D30" s="2318" t="s">
        <v>5</v>
      </c>
      <c r="E30" s="2319" t="s">
        <v>5</v>
      </c>
    </row>
    <row r="31" spans="1:5" ht="66" x14ac:dyDescent="0.25">
      <c r="A31" s="1434" t="s">
        <v>705</v>
      </c>
      <c r="B31" s="1478" t="s">
        <v>605</v>
      </c>
      <c r="C31" s="1518"/>
      <c r="D31" s="2320">
        <v>43475428290</v>
      </c>
      <c r="E31" s="2321">
        <v>126891363736</v>
      </c>
    </row>
    <row r="32" spans="1:5" ht="33" x14ac:dyDescent="0.25">
      <c r="A32" s="1452" t="s">
        <v>598</v>
      </c>
      <c r="B32" s="1461" t="s">
        <v>599</v>
      </c>
      <c r="C32" s="1519"/>
      <c r="D32" s="2322">
        <v>43475428290</v>
      </c>
      <c r="E32" s="2323">
        <v>126891363736</v>
      </c>
    </row>
    <row r="33" spans="1:5" ht="66" x14ac:dyDescent="0.25">
      <c r="A33" s="1494" t="s">
        <v>578</v>
      </c>
      <c r="B33" s="1465" t="s">
        <v>606</v>
      </c>
      <c r="C33" s="1520"/>
      <c r="D33" s="2324">
        <v>38065043990</v>
      </c>
      <c r="E33" s="2325">
        <v>126890363736</v>
      </c>
    </row>
    <row r="34" spans="1:5" ht="33" x14ac:dyDescent="0.25">
      <c r="A34" s="1435" t="s">
        <v>579</v>
      </c>
      <c r="B34" s="1479" t="s">
        <v>606</v>
      </c>
      <c r="C34" s="1521"/>
      <c r="D34" s="2326" t="s">
        <v>5</v>
      </c>
      <c r="E34" s="2327" t="s">
        <v>5</v>
      </c>
    </row>
    <row r="35" spans="1:5" ht="49.5" x14ac:dyDescent="0.25">
      <c r="A35" s="1495" t="s">
        <v>584</v>
      </c>
      <c r="B35" s="1466" t="s">
        <v>592</v>
      </c>
      <c r="C35" s="1522"/>
      <c r="D35" s="2328" t="s">
        <v>5</v>
      </c>
      <c r="E35" s="2329" t="s">
        <v>5</v>
      </c>
    </row>
    <row r="36" spans="1:5" ht="49.5" x14ac:dyDescent="0.25">
      <c r="A36" s="1496" t="s">
        <v>583</v>
      </c>
      <c r="B36" s="1462" t="s">
        <v>582</v>
      </c>
      <c r="C36" s="1523"/>
      <c r="D36" s="2330">
        <v>5409384300</v>
      </c>
      <c r="E36" s="2331">
        <v>0</v>
      </c>
    </row>
    <row r="37" spans="1:5" ht="49.5" x14ac:dyDescent="0.25">
      <c r="A37" s="1428" t="s">
        <v>704</v>
      </c>
      <c r="B37" s="1516" t="s">
        <v>571</v>
      </c>
      <c r="C37" s="1524"/>
      <c r="D37" s="2332">
        <v>1000000</v>
      </c>
      <c r="E37" s="2333">
        <v>1000000</v>
      </c>
    </row>
    <row r="38" spans="1:5" ht="33" x14ac:dyDescent="0.25">
      <c r="A38" s="1429" t="s">
        <v>579</v>
      </c>
      <c r="B38" s="1487" t="s">
        <v>571</v>
      </c>
      <c r="C38" s="1525"/>
      <c r="D38" s="2334" t="s">
        <v>5</v>
      </c>
      <c r="E38" s="2335" t="s">
        <v>5</v>
      </c>
    </row>
    <row r="39" spans="1:5" ht="33" x14ac:dyDescent="0.25">
      <c r="A39" s="1497" t="s">
        <v>537</v>
      </c>
      <c r="B39" s="1517" t="s">
        <v>593</v>
      </c>
      <c r="C39" s="1526"/>
      <c r="D39" s="2336" t="s">
        <v>5</v>
      </c>
      <c r="E39" s="2337" t="s">
        <v>5</v>
      </c>
    </row>
    <row r="40" spans="1:5" ht="49.5" x14ac:dyDescent="0.25">
      <c r="A40" s="1498" t="s">
        <v>699</v>
      </c>
      <c r="B40" s="1481" t="s">
        <v>586</v>
      </c>
      <c r="C40" s="1527"/>
      <c r="D40" s="2338" t="s">
        <v>5</v>
      </c>
      <c r="E40" s="2339" t="s">
        <v>5</v>
      </c>
    </row>
  </sheetData>
  <mergeCells count="1">
    <mergeCell ref="A1:E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3:E40"/>
  <sheetViews>
    <sheetView workbookViewId="0"/>
  </sheetViews>
  <sheetFormatPr defaultRowHeight="15" x14ac:dyDescent="0.25"/>
  <cols>
    <col min="1" max="1" width="1" style="435" bestFit="1" customWidth="1"/>
    <col min="2" max="5" width="1" bestFit="1" customWidth="1"/>
  </cols>
  <sheetData>
    <row r="3" spans="1:5" x14ac:dyDescent="0.25">
      <c r="A3" t="str">
        <f>CONCATENATE(665093,",",ROW(PLCTTHDMGUTCKHGT_06614!A3),"|",COLUMN(PLCTTHDMGUTCKHGT_06614!A3),",0",",0")</f>
        <v>665093,3|1,0,0</v>
      </c>
      <c r="B3" t="s">
        <v>5</v>
      </c>
      <c r="C3" t="str">
        <f>CONCATENATE(665133,",",ROW(PLCTTHDMGUTCKHGT_06614!C3),"|",COLUMN(PLCTTHDMGUTCKHGT_06614!C3),",0",",0")</f>
        <v>665133,3|3,0,0</v>
      </c>
      <c r="D3" t="str">
        <f>CONCATENATE(665099,",",ROW(PLCTTHDMGUTCKHGT_06614!D3),"|",COLUMN(PLCTTHDMGUTCKHGT_06614!D3),",0",",0")</f>
        <v>665099,3|4,0,0</v>
      </c>
      <c r="E3" t="str">
        <f>CONCATENATE(664986,",",ROW(PLCTTHDMGUTCKHGT_06614!E3),"|",COLUMN(PLCTTHDMGUTCKHGT_06614!E3),",0",",0")</f>
        <v>664986,3|5,0,0</v>
      </c>
    </row>
    <row r="4" spans="1:5" x14ac:dyDescent="0.25">
      <c r="A4" t="str">
        <f>CONCATENATE(665081,",",ROW(PLCTTHDMGUTCKHGT_06614!A4),"|",COLUMN(PLCTTHDMGUTCKHGT_06614!A4),",0",",0")</f>
        <v>665081,4|1,0,0</v>
      </c>
      <c r="B4" t="str">
        <f>CONCATENATE(664995,",",ROW(PLCTTHDMGUTCKHGT_06614!B4),"|",COLUMN(PLCTTHDMGUTCKHGT_06614!B4),",0",",0")</f>
        <v>664995,4|2,0,0</v>
      </c>
      <c r="C4" t="str">
        <f>CONCATENATE(665126,",",ROW(PLCTTHDMGUTCKHGT_06614!C4),"|",COLUMN(PLCTTHDMGUTCKHGT_06614!C4),",0",",0")</f>
        <v>665126,4|3,0,0</v>
      </c>
      <c r="D4" t="str">
        <f>CONCATENATE(665032,",",ROW(PLCTTHDMGUTCKHGT_06614!D4),"|",COLUMN(PLCTTHDMGUTCKHGT_06614!D4),",0",",0")</f>
        <v>665032,4|4,0,0</v>
      </c>
      <c r="E4" t="str">
        <f>CONCATENATE(665111,",",ROW(PLCTTHDMGUTCKHGT_06614!E4),"|",COLUMN(PLCTTHDMGUTCKHGT_06614!E4),",0",",0")</f>
        <v>665111,4|5,0,0</v>
      </c>
    </row>
    <row r="5" spans="1:5" x14ac:dyDescent="0.25">
      <c r="A5" t="str">
        <f>CONCATENATE(665044,",",ROW(PLCTTHDMGUTCKHGT_06614!A5),"|",COLUMN(PLCTTHDMGUTCKHGT_06614!A5),",0",",0")</f>
        <v>665044,5|1,0,0</v>
      </c>
      <c r="B5" t="str">
        <f>CONCATENATE(665075,",",ROW(PLCTTHDMGUTCKHGT_06614!B5),"|",COLUMN(PLCTTHDMGUTCKHGT_06614!B5),",0",",0")</f>
        <v>665075,5|2,0,0</v>
      </c>
      <c r="C5" t="str">
        <f>CONCATENATE(665162,",",ROW(PLCTTHDMGUTCKHGT_06614!C5),"|",COLUMN(PLCTTHDMGUTCKHGT_06614!C5),",0",",0")</f>
        <v>665162,5|3,0,0</v>
      </c>
      <c r="D5" t="str">
        <f>CONCATENATE(665018,",",ROW(PLCTTHDMGUTCKHGT_06614!D5),"|",COLUMN(PLCTTHDMGUTCKHGT_06614!D5),",0",",0")</f>
        <v>665018,5|4,0,0</v>
      </c>
      <c r="E5" t="str">
        <f>CONCATENATE(665000,",",ROW(PLCTTHDMGUTCKHGT_06614!E5),"|",COLUMN(PLCTTHDMGUTCKHGT_06614!E5),",0",",0")</f>
        <v>665000,5|5,0,0</v>
      </c>
    </row>
    <row r="6" spans="1:5" x14ac:dyDescent="0.25">
      <c r="A6" t="str">
        <f>CONCATENATE(665045,",",ROW(PLCTTHDMGUTCKHGT_06614!A6),"|",COLUMN(PLCTTHDMGUTCKHGT_06614!A6),",0",",0")</f>
        <v>665045,6|1,0,0</v>
      </c>
      <c r="B6" t="str">
        <f>CONCATENATE(665077,",",ROW(PLCTTHDMGUTCKHGT_06614!B6),"|",COLUMN(PLCTTHDMGUTCKHGT_06614!B6),",0",",0")</f>
        <v>665077,6|2,0,0</v>
      </c>
      <c r="C6" t="str">
        <f>CONCATENATE(665163,",",ROW(PLCTTHDMGUTCKHGT_06614!C6),"|",COLUMN(PLCTTHDMGUTCKHGT_06614!C6),",0",",0")</f>
        <v>665163,6|3,0,0</v>
      </c>
      <c r="D6" t="str">
        <f>CONCATENATE(665019,",",ROW(PLCTTHDMGUTCKHGT_06614!D6),"|",COLUMN(PLCTTHDMGUTCKHGT_06614!D6),",0",",0")</f>
        <v>665019,6|4,0,0</v>
      </c>
      <c r="E6" t="str">
        <f>CONCATENATE(665001,",",ROW(PLCTTHDMGUTCKHGT_06614!E6),"|",COLUMN(PLCTTHDMGUTCKHGT_06614!E6),",0",",0")</f>
        <v>665001,6|5,0,0</v>
      </c>
    </row>
    <row r="7" spans="1:5" x14ac:dyDescent="0.25">
      <c r="A7" t="str">
        <f>CONCATENATE(665046,",",ROW(PLCTTHDMGUTCKHGT_06614!A7),"|",COLUMN(PLCTTHDMGUTCKHGT_06614!A7),",0",",0")</f>
        <v>665046,7|1,0,0</v>
      </c>
      <c r="B7" t="str">
        <f>CONCATENATE(665057,",",ROW(PLCTTHDMGUTCKHGT_06614!B7),"|",COLUMN(PLCTTHDMGUTCKHGT_06614!B7),",0",",0")</f>
        <v>665057,7|2,0,0</v>
      </c>
      <c r="C7" t="str">
        <f>CONCATENATE(665048,",",ROW(PLCTTHDMGUTCKHGT_06614!C7),"|",COLUMN(PLCTTHDMGUTCKHGT_06614!C7),",0",",0")</f>
        <v>665048,7|3,0,0</v>
      </c>
      <c r="D7" t="str">
        <f>CONCATENATE(665027,",",ROW(PLCTTHDMGUTCKHGT_06614!D7),"|",COLUMN(PLCTTHDMGUTCKHGT_06614!D7),",0",",0")</f>
        <v>665027,7|4,0,0</v>
      </c>
      <c r="E7" t="str">
        <f>CONCATENATE(665106,",",ROW(PLCTTHDMGUTCKHGT_06614!E7),"|",COLUMN(PLCTTHDMGUTCKHGT_06614!E7),",0",",0")</f>
        <v>665106,7|5,0,0</v>
      </c>
    </row>
    <row r="8" spans="1:5" x14ac:dyDescent="0.25">
      <c r="A8" t="str">
        <f>CONCATENATE(665047,",",ROW(PLCTTHDMGUTCKHGT_06614!A8),"|",COLUMN(PLCTTHDMGUTCKHGT_06614!A8),",0",",0")</f>
        <v>665047,8|1,0,0</v>
      </c>
      <c r="B8" t="str">
        <f>CONCATENATE(665117,",",ROW(PLCTTHDMGUTCKHGT_06614!B8),"|",COLUMN(PLCTTHDMGUTCKHGT_06614!B8),",0",",0")</f>
        <v>665117,8|2,0,0</v>
      </c>
      <c r="C8" t="str">
        <f>CONCATENATE(665122,",",ROW(PLCTTHDMGUTCKHGT_06614!C8),"|",COLUMN(PLCTTHDMGUTCKHGT_06614!C8),",0",",0")</f>
        <v>665122,8|3,0,0</v>
      </c>
      <c r="D8" t="str">
        <f>CONCATENATE(665028,",",ROW(PLCTTHDMGUTCKHGT_06614!D8),"|",COLUMN(PLCTTHDMGUTCKHGT_06614!D8),",0",",0")</f>
        <v>665028,8|4,0,0</v>
      </c>
      <c r="E8" t="str">
        <f>CONCATENATE(665107,",",ROW(PLCTTHDMGUTCKHGT_06614!E8),"|",COLUMN(PLCTTHDMGUTCKHGT_06614!E8),",0",",0")</f>
        <v>665107,8|5,0,0</v>
      </c>
    </row>
    <row r="9" spans="1:5" x14ac:dyDescent="0.25">
      <c r="A9" t="str">
        <f>CONCATENATE(665092,",",ROW(PLCTTHDMGUTCKHGT_06614!A9),"|",COLUMN(PLCTTHDMGUTCKHGT_06614!A9),",0",",0")</f>
        <v>665092,9|1,0,0</v>
      </c>
      <c r="B9" t="str">
        <f>CONCATENATE(665086,",",ROW(PLCTTHDMGUTCKHGT_06614!B9),"|",COLUMN(PLCTTHDMGUTCKHGT_06614!B9),",0",",0")</f>
        <v>665086,9|2,0,0</v>
      </c>
      <c r="C9" t="str">
        <f>CONCATENATE(665076,",",ROW(PLCTTHDMGUTCKHGT_06614!C9),"|",COLUMN(PLCTTHDMGUTCKHGT_06614!C9),",0",",0")</f>
        <v>665076,9|3,0,0</v>
      </c>
      <c r="D9" t="str">
        <f>CONCATENATE(665078,",",ROW(PLCTTHDMGUTCKHGT_06614!D9),"|",COLUMN(PLCTTHDMGUTCKHGT_06614!D9),",0",",0")</f>
        <v>665078,9|4,0,0</v>
      </c>
      <c r="E9" t="str">
        <f>CONCATENATE(665088,",",ROW(PLCTTHDMGUTCKHGT_06614!E9),"|",COLUMN(PLCTTHDMGUTCKHGT_06614!E9),",0",",0")</f>
        <v>665088,9|5,0,0</v>
      </c>
    </row>
    <row r="10" spans="1:5" x14ac:dyDescent="0.25">
      <c r="A10" t="str">
        <f>CONCATENATE(665049,",",ROW(PLCTTHDMGUTCKHGT_06614!A10),"|",COLUMN(PLCTTHDMGUTCKHGT_06614!A10),",0",",0")</f>
        <v>665049,10|1,0,0</v>
      </c>
      <c r="B10" t="str">
        <f>CONCATENATE(665118,",",ROW(PLCTTHDMGUTCKHGT_06614!B10),"|",COLUMN(PLCTTHDMGUTCKHGT_06614!B10),",0",",0")</f>
        <v>665118,10|2,0,0</v>
      </c>
      <c r="C10" t="str">
        <f>CONCATENATE(665123,",",ROW(PLCTTHDMGUTCKHGT_06614!C10),"|",COLUMN(PLCTTHDMGUTCKHGT_06614!C10),",0",",0")</f>
        <v>665123,10|3,0,0</v>
      </c>
      <c r="D10" t="str">
        <f>CONCATENATE(665029,",",ROW(PLCTTHDMGUTCKHGT_06614!D10),"|",COLUMN(PLCTTHDMGUTCKHGT_06614!D10),",0",",0")</f>
        <v>665029,10|4,0,0</v>
      </c>
      <c r="E10" t="str">
        <f>CONCATENATE(665108,",",ROW(PLCTTHDMGUTCKHGT_06614!E10),"|",COLUMN(PLCTTHDMGUTCKHGT_06614!E10),",0",",0")</f>
        <v>665108,10|5,0,0</v>
      </c>
    </row>
    <row r="11" spans="1:5" x14ac:dyDescent="0.25">
      <c r="A11" t="str">
        <f>CONCATENATE(665052,",",ROW(PLCTTHDMGUTCKHGT_06614!A11),"|",COLUMN(PLCTTHDMGUTCKHGT_06614!A11),",0",",0")</f>
        <v>665052,11|1,0,0</v>
      </c>
      <c r="B11" t="str">
        <f>CONCATENATE(665058,",",ROW(PLCTTHDMGUTCKHGT_06614!B11),"|",COLUMN(PLCTTHDMGUTCKHGT_06614!B11),",0",",0")</f>
        <v>665058,11|2,0,0</v>
      </c>
      <c r="C11" t="str">
        <f>CONCATENATE(665129,",",ROW(PLCTTHDMGUTCKHGT_06614!C11),"|",COLUMN(PLCTTHDMGUTCKHGT_06614!C11),",0",",0")</f>
        <v>665129,11|3,0,0</v>
      </c>
      <c r="D11" t="str">
        <f>CONCATENATE(665035,",",ROW(PLCTTHDMGUTCKHGT_06614!D11),"|",COLUMN(PLCTTHDMGUTCKHGT_06614!D11),",0",",0")</f>
        <v>665035,11|4,0,0</v>
      </c>
      <c r="E11" t="str">
        <f>CONCATENATE(664982,",",ROW(PLCTTHDMGUTCKHGT_06614!E11),"|",COLUMN(PLCTTHDMGUTCKHGT_06614!E11),",0",",0")</f>
        <v>664982,11|5,0,0</v>
      </c>
    </row>
    <row r="12" spans="1:5" x14ac:dyDescent="0.25">
      <c r="A12" t="str">
        <f>CONCATENATE(665050,",",ROW(PLCTTHDMGUTCKHGT_06614!A12),"|",COLUMN(PLCTTHDMGUTCKHGT_06614!A12),",0",",0")</f>
        <v>665050,12|1,0,0</v>
      </c>
      <c r="B12" t="str">
        <f>CONCATENATE(665119,",",ROW(PLCTTHDMGUTCKHGT_06614!B12),"|",COLUMN(PLCTTHDMGUTCKHGT_06614!B12),",0",",0")</f>
        <v>665119,12|2,0,0</v>
      </c>
      <c r="C12" t="str">
        <f>CONCATENATE(665124,",",ROW(PLCTTHDMGUTCKHGT_06614!C12),"|",COLUMN(PLCTTHDMGUTCKHGT_06614!C12),",0",",0")</f>
        <v>665124,12|3,0,0</v>
      </c>
      <c r="D12" t="str">
        <f>CONCATENATE(665030,",",ROW(PLCTTHDMGUTCKHGT_06614!D12),"|",COLUMN(PLCTTHDMGUTCKHGT_06614!D12),",0",",0")</f>
        <v>665030,12|4,0,0</v>
      </c>
      <c r="E12" t="str">
        <f>CONCATENATE(665109,",",ROW(PLCTTHDMGUTCKHGT_06614!E12),"|",COLUMN(PLCTTHDMGUTCKHGT_06614!E12),",0",",0")</f>
        <v>665109,12|5,0,0</v>
      </c>
    </row>
    <row r="13" spans="1:5" x14ac:dyDescent="0.25">
      <c r="A13" t="str">
        <f>CONCATENATE(665089,",",ROW(PLCTTHDMGUTCKHGT_06614!A13),"|",COLUMN(PLCTTHDMGUTCKHGT_06614!A13),",0",",0")</f>
        <v>665089,13|1,0,0</v>
      </c>
      <c r="B13" t="str">
        <f>CONCATENATE(665059,",",ROW(PLCTTHDMGUTCKHGT_06614!B13),"|",COLUMN(PLCTTHDMGUTCKHGT_06614!B13),",0",",0")</f>
        <v>665059,13|2,0,0</v>
      </c>
      <c r="C13" t="str">
        <f>CONCATENATE(665166,",",ROW(PLCTTHDMGUTCKHGT_06614!C13),"|",COLUMN(PLCTTHDMGUTCKHGT_06614!C13),",0",",0")</f>
        <v>665166,13|3,0,0</v>
      </c>
      <c r="D13" t="str">
        <f>CONCATENATE(665022,",",ROW(PLCTTHDMGUTCKHGT_06614!D13),"|",COLUMN(PLCTTHDMGUTCKHGT_06614!D13),",0",",0")</f>
        <v>665022,13|4,0,0</v>
      </c>
      <c r="E13" t="str">
        <f>CONCATENATE(665100,",",ROW(PLCTTHDMGUTCKHGT_06614!E13),"|",COLUMN(PLCTTHDMGUTCKHGT_06614!E13),",0",",0")</f>
        <v>665100,13|5,0,0</v>
      </c>
    </row>
    <row r="14" spans="1:5" x14ac:dyDescent="0.25">
      <c r="A14" t="str">
        <f>CONCATENATE(664989,",",ROW(PLCTTHDMGUTCKHGT_06614!A14),"|",COLUMN(PLCTTHDMGUTCKHGT_06614!A14),",0",",0")</f>
        <v>664989,14|1,0,0</v>
      </c>
      <c r="B14" t="str">
        <f>CONCATENATE(665060,",",ROW(PLCTTHDMGUTCKHGT_06614!B14),"|",COLUMN(PLCTTHDMGUTCKHGT_06614!B14),",0",",0")</f>
        <v>665060,14|2,0,0</v>
      </c>
      <c r="C14" t="str">
        <f>CONCATENATE(665130,",",ROW(PLCTTHDMGUTCKHGT_06614!C14),"|",COLUMN(PLCTTHDMGUTCKHGT_06614!C14),",0",",0")</f>
        <v>665130,14|3,0,0</v>
      </c>
      <c r="D14" t="str">
        <f>CONCATENATE(665036,",",ROW(PLCTTHDMGUTCKHGT_06614!D14),"|",COLUMN(PLCTTHDMGUTCKHGT_06614!D14),",0",",0")</f>
        <v>665036,14|4,0,0</v>
      </c>
      <c r="E14" t="str">
        <f>CONCATENATE(664983,",",ROW(PLCTTHDMGUTCKHGT_06614!E14),"|",COLUMN(PLCTTHDMGUTCKHGT_06614!E14),",0",",0")</f>
        <v>664983,14|5,0,0</v>
      </c>
    </row>
    <row r="15" spans="1:5" x14ac:dyDescent="0.25">
      <c r="A15" t="str">
        <f>CONCATENATE(664991,",",ROW(PLCTTHDMGUTCKHGT_06614!A15),"|",COLUMN(PLCTTHDMGUTCKHGT_06614!A15),",0",",0")</f>
        <v>664991,15|1,0,0</v>
      </c>
      <c r="B15" t="str">
        <f>CONCATENATE(665067,",",ROW(PLCTTHDMGUTCKHGT_06614!B15),"|",COLUMN(PLCTTHDMGUTCKHGT_06614!B15),",0",",0")</f>
        <v>665067,15|2,0,0</v>
      </c>
      <c r="C15" t="str">
        <f>CONCATENATE(665132,",",ROW(PLCTTHDMGUTCKHGT_06614!C15),"|",COLUMN(PLCTTHDMGUTCKHGT_06614!C15),",0",",0")</f>
        <v>665132,15|3,0,0</v>
      </c>
      <c r="D15" t="str">
        <f>CONCATENATE(665098,",",ROW(PLCTTHDMGUTCKHGT_06614!D15),"|",COLUMN(PLCTTHDMGUTCKHGT_06614!D15),",0",",0")</f>
        <v>665098,15|4,0,0</v>
      </c>
      <c r="E15" t="str">
        <f>CONCATENATE(664985,",",ROW(PLCTTHDMGUTCKHGT_06614!E15),"|",COLUMN(PLCTTHDMGUTCKHGT_06614!E15),",0",",0")</f>
        <v>664985,15|5,0,0</v>
      </c>
    </row>
    <row r="16" spans="1:5" x14ac:dyDescent="0.25">
      <c r="A16" t="str">
        <f>CONCATENATE(664990,",",ROW(PLCTTHDMGUTCKHGT_06614!A16),"|",COLUMN(PLCTTHDMGUTCKHGT_06614!A16),",0",",0")</f>
        <v>664990,16|1,0,0</v>
      </c>
      <c r="B16" t="str">
        <f>CONCATENATE(665040,",",ROW(PLCTTHDMGUTCKHGT_06614!B16),"|",COLUMN(PLCTTHDMGUTCKHGT_06614!B16),",0",",0")</f>
        <v>665040,16|2,0,0</v>
      </c>
      <c r="C16" t="str">
        <f>CONCATENATE(665121,",",ROW(PLCTTHDMGUTCKHGT_06614!C16),"|",COLUMN(PLCTTHDMGUTCKHGT_06614!C16),",0",",0")</f>
        <v>665121,16|3,0,0</v>
      </c>
      <c r="D16" t="str">
        <f>CONCATENATE(665024,",",ROW(PLCTTHDMGUTCKHGT_06614!D16),"|",COLUMN(PLCTTHDMGUTCKHGT_06614!D16),",0",",0")</f>
        <v>665024,16|4,0,0</v>
      </c>
      <c r="E16" t="str">
        <f>CONCATENATE(665102,",",ROW(PLCTTHDMGUTCKHGT_06614!E16),"|",COLUMN(PLCTTHDMGUTCKHGT_06614!E16),",0",",0")</f>
        <v>665102,16|5,0,0</v>
      </c>
    </row>
    <row r="17" spans="1:5" x14ac:dyDescent="0.25">
      <c r="A17" t="str">
        <f>CONCATENATE(665051,",",ROW(PLCTTHDMGUTCKHGT_06614!A17),"|",COLUMN(PLCTTHDMGUTCKHGT_06614!A17),",0",",0")</f>
        <v>665051,17|1,0,0</v>
      </c>
      <c r="B17" t="str">
        <f>CONCATENATE(665120,",",ROW(PLCTTHDMGUTCKHGT_06614!B17),"|",COLUMN(PLCTTHDMGUTCKHGT_06614!B17),",0",",0")</f>
        <v>665120,17|2,0,0</v>
      </c>
      <c r="C17" t="str">
        <f>CONCATENATE(665125,",",ROW(PLCTTHDMGUTCKHGT_06614!C17),"|",COLUMN(PLCTTHDMGUTCKHGT_06614!C17),",0",",0")</f>
        <v>665125,17|3,0,0</v>
      </c>
      <c r="D17" t="str">
        <f>CONCATENATE(665031,",",ROW(PLCTTHDMGUTCKHGT_06614!D17),"|",COLUMN(PLCTTHDMGUTCKHGT_06614!D17),",0",",0")</f>
        <v>665031,17|4,0,0</v>
      </c>
      <c r="E17" t="str">
        <f>CONCATENATE(665110,",",ROW(PLCTTHDMGUTCKHGT_06614!E17),"|",COLUMN(PLCTTHDMGUTCKHGT_06614!E17),",0",",0")</f>
        <v>665110,17|5,0,0</v>
      </c>
    </row>
    <row r="18" spans="1:5" x14ac:dyDescent="0.25">
      <c r="A18" t="str">
        <f>CONCATENATE(665084,",",ROW(PLCTTHDMGUTCKHGT_06614!A18),"|",COLUMN(PLCTTHDMGUTCKHGT_06614!A18),",0",",0")</f>
        <v>665084,18|1,0,0</v>
      </c>
      <c r="B18" t="str">
        <f>CONCATENATE(665079,",",ROW(PLCTTHDMGUTCKHGT_06614!B18),"|",COLUMN(PLCTTHDMGUTCKHGT_06614!B18),",0",",0")</f>
        <v>665079,18|2,0,0</v>
      </c>
      <c r="C18" t="str">
        <f>CONCATENATE(665164,",",ROW(PLCTTHDMGUTCKHGT_06614!C18),"|",COLUMN(PLCTTHDMGUTCKHGT_06614!C18),",0",",0")</f>
        <v>665164,18|3,0,0</v>
      </c>
      <c r="D18" t="str">
        <f>CONCATENATE(665020,",",ROW(PLCTTHDMGUTCKHGT_06614!D18),"|",COLUMN(PLCTTHDMGUTCKHGT_06614!D18),",0",",0")</f>
        <v>665020,18|4,0,0</v>
      </c>
      <c r="E18" t="str">
        <f>CONCATENATE(665002,",",ROW(PLCTTHDMGUTCKHGT_06614!E18),"|",COLUMN(PLCTTHDMGUTCKHGT_06614!E18),",0",",0")</f>
        <v>665002,18|5,0,0</v>
      </c>
    </row>
    <row r="19" spans="1:5" x14ac:dyDescent="0.25">
      <c r="A19" t="str">
        <f>CONCATENATE(665053,",",ROW(PLCTTHDMGUTCKHGT_06614!A19),"|",COLUMN(PLCTTHDMGUTCKHGT_06614!A19),",0",",0")</f>
        <v>665053,19|1,0,0</v>
      </c>
      <c r="B19" t="str">
        <f>CONCATENATE(665080,",",ROW(PLCTTHDMGUTCKHGT_06614!B19),"|",COLUMN(PLCTTHDMGUTCKHGT_06614!B19),",0",",0")</f>
        <v>665080,19|2,0,0</v>
      </c>
      <c r="C19" t="str">
        <f>CONCATENATE(665165,",",ROW(PLCTTHDMGUTCKHGT_06614!C19),"|",COLUMN(PLCTTHDMGUTCKHGT_06614!C19),",0",",0")</f>
        <v>665165,19|3,0,0</v>
      </c>
      <c r="D19" t="str">
        <f>CONCATENATE(665021,",",ROW(PLCTTHDMGUTCKHGT_06614!D19),"|",COLUMN(PLCTTHDMGUTCKHGT_06614!D19),",0",",0")</f>
        <v>665021,19|4,0,0</v>
      </c>
      <c r="E19" t="str">
        <f>CONCATENATE(665003,",",ROW(PLCTTHDMGUTCKHGT_06614!E19),"|",COLUMN(PLCTTHDMGUTCKHGT_06614!E19),",0",",0")</f>
        <v>665003,19|5,0,0</v>
      </c>
    </row>
    <row r="20" spans="1:5" x14ac:dyDescent="0.25">
      <c r="A20" t="str">
        <f>CONCATENATE(665094,",",ROW(PLCTTHDMGUTCKHGT_06614!A20),"|",COLUMN(PLCTTHDMGUTCKHGT_06614!A20),",0",",0")</f>
        <v>665094,20|1,0,0</v>
      </c>
      <c r="B20" t="str">
        <f>CONCATENATE(665072,",",ROW(PLCTTHDMGUTCKHGT_06614!B20),"|",COLUMN(PLCTTHDMGUTCKHGT_06614!B20),",0",",0")</f>
        <v>665072,20|2,0,0</v>
      </c>
      <c r="C20" t="str">
        <f>CONCATENATE(665159,",",ROW(PLCTTHDMGUTCKHGT_06614!C20),"|",COLUMN(PLCTTHDMGUTCKHGT_06614!C20),",0",",0")</f>
        <v>665159,20|3,0,0</v>
      </c>
      <c r="D20" t="str">
        <f>CONCATENATE(665015,",",ROW(PLCTTHDMGUTCKHGT_06614!D20),"|",COLUMN(PLCTTHDMGUTCKHGT_06614!D20),",0",",0")</f>
        <v>665015,20|4,0,0</v>
      </c>
      <c r="E20" t="str">
        <f>CONCATENATE(665145,",",ROW(PLCTTHDMGUTCKHGT_06614!E20),"|",COLUMN(PLCTTHDMGUTCKHGT_06614!E20),",0",",0")</f>
        <v>665145,20|5,0,0</v>
      </c>
    </row>
    <row r="21" spans="1:5" x14ac:dyDescent="0.25">
      <c r="A21" t="str">
        <f>CONCATENATE(665095,",",ROW(PLCTTHDMGUTCKHGT_06614!A21),"|",COLUMN(PLCTTHDMGUTCKHGT_06614!A21),",0",",0")</f>
        <v>665095,21|1,0,0</v>
      </c>
      <c r="B21" t="str">
        <f>CONCATENATE(665061,",",ROW(PLCTTHDMGUTCKHGT_06614!B21),"|",COLUMN(PLCTTHDMGUTCKHGT_06614!B21),",0",",0")</f>
        <v>665061,21|2,0,0</v>
      </c>
      <c r="C21" t="str">
        <f>CONCATENATE(665131,",",ROW(PLCTTHDMGUTCKHGT_06614!C21),"|",COLUMN(PLCTTHDMGUTCKHGT_06614!C21),",0",",0")</f>
        <v>665131,21|3,0,0</v>
      </c>
      <c r="D21" t="str">
        <f>CONCATENATE(664979,",",ROW(PLCTTHDMGUTCKHGT_06614!D21),"|",COLUMN(PLCTTHDMGUTCKHGT_06614!D21),",0",",0")</f>
        <v>664979,21|4,0,0</v>
      </c>
      <c r="E21" t="str">
        <f>CONCATENATE(664984,",",ROW(PLCTTHDMGUTCKHGT_06614!E21),"|",COLUMN(PLCTTHDMGUTCKHGT_06614!E21),",0",",0")</f>
        <v>664984,21|5,0,0</v>
      </c>
    </row>
    <row r="22" spans="1:5" x14ac:dyDescent="0.25">
      <c r="A22" t="str">
        <f>CONCATENATE(665096,",",ROW(PLCTTHDMGUTCKHGT_06614!A22),"|",COLUMN(PLCTTHDMGUTCKHGT_06614!A22),",0",",0")</f>
        <v>665096,22|1,0,0</v>
      </c>
      <c r="B22" t="str">
        <f>CONCATENATE(665041,",",ROW(PLCTTHDMGUTCKHGT_06614!B22),"|",COLUMN(PLCTTHDMGUTCKHGT_06614!B22),",0",",0")</f>
        <v>665041,22|2,0,0</v>
      </c>
      <c r="C22" t="str">
        <f>CONCATENATE(664996,",",ROW(PLCTTHDMGUTCKHGT_06614!C22),"|",COLUMN(PLCTTHDMGUTCKHGT_06614!C22),",0",",0")</f>
        <v>664996,22|3,0,0</v>
      </c>
      <c r="D22" t="str">
        <f>CONCATENATE(665025,",",ROW(PLCTTHDMGUTCKHGT_06614!D22),"|",COLUMN(PLCTTHDMGUTCKHGT_06614!D22),",0",",0")</f>
        <v>665025,22|4,0,0</v>
      </c>
      <c r="E22" t="str">
        <f>CONCATENATE(665103,",",ROW(PLCTTHDMGUTCKHGT_06614!E22),"|",COLUMN(PLCTTHDMGUTCKHGT_06614!E22),",0",",0")</f>
        <v>665103,22|5,0,0</v>
      </c>
    </row>
    <row r="23" spans="1:5" x14ac:dyDescent="0.25">
      <c r="A23" t="str">
        <f>CONCATENATE(665097,",",ROW(PLCTTHDMGUTCKHGT_06614!A23),"|",COLUMN(PLCTTHDMGUTCKHGT_06614!A23),",0",",0")</f>
        <v>665097,23|1,0,0</v>
      </c>
      <c r="B23" t="str">
        <f>CONCATENATE(665042,",",ROW(PLCTTHDMGUTCKHGT_06614!B23),"|",COLUMN(PLCTTHDMGUTCKHGT_06614!B23),",0",",0")</f>
        <v>665042,23|2,0,0</v>
      </c>
      <c r="C23" t="str">
        <f>CONCATENATE(664997,",",ROW(PLCTTHDMGUTCKHGT_06614!C23),"|",COLUMN(PLCTTHDMGUTCKHGT_06614!C23),",0",",0")</f>
        <v>664997,23|3,0,0</v>
      </c>
      <c r="D23" t="str">
        <f>CONCATENATE(665026,",",ROW(PLCTTHDMGUTCKHGT_06614!D23),"|",COLUMN(PLCTTHDMGUTCKHGT_06614!D23),",0",",0")</f>
        <v>665026,23|4,0,0</v>
      </c>
      <c r="E23" t="str">
        <f>CONCATENATE(665104,",",ROW(PLCTTHDMGUTCKHGT_06614!E23),"|",COLUMN(PLCTTHDMGUTCKHGT_06614!E23),",0",",0")</f>
        <v>665104,23|5,0,0</v>
      </c>
    </row>
    <row r="24" spans="1:5" x14ac:dyDescent="0.25">
      <c r="A24" t="str">
        <f>CONCATENATE(665087,",",ROW(PLCTTHDMGUTCKHGT_06614!A24),"|",COLUMN(PLCTTHDMGUTCKHGT_06614!A24),",0",",0")</f>
        <v>665087,24|1,0,0</v>
      </c>
      <c r="B24" t="str">
        <f>CONCATENATE(665073,",",ROW(PLCTTHDMGUTCKHGT_06614!B24),"|",COLUMN(PLCTTHDMGUTCKHGT_06614!B24),",0",",0")</f>
        <v>665073,24|2,0,0</v>
      </c>
      <c r="C24" t="str">
        <f>CONCATENATE(665160,",",ROW(PLCTTHDMGUTCKHGT_06614!C24),"|",COLUMN(PLCTTHDMGUTCKHGT_06614!C24),",0",",0")</f>
        <v>665160,24|3,0,0</v>
      </c>
      <c r="D24" t="str">
        <f>CONCATENATE(665016,",",ROW(PLCTTHDMGUTCKHGT_06614!D24),"|",COLUMN(PLCTTHDMGUTCKHGT_06614!D24),",0",",0")</f>
        <v>665016,24|4,0,0</v>
      </c>
      <c r="E24" t="str">
        <f>CONCATENATE(664998,",",ROW(PLCTTHDMGUTCKHGT_06614!E24),"|",COLUMN(PLCTTHDMGUTCKHGT_06614!E24),",0",",0")</f>
        <v>664998,24|5,0,0</v>
      </c>
    </row>
    <row r="25" spans="1:5" x14ac:dyDescent="0.25">
      <c r="A25" t="str">
        <f>CONCATENATE(665054,",",ROW(PLCTTHDMGUTCKHGT_06614!A25),"|",COLUMN(PLCTTHDMGUTCKHGT_06614!A25),",0",",0")</f>
        <v>665054,25|1,0,0</v>
      </c>
      <c r="B25" t="str">
        <f>CONCATENATE(665062,",",ROW(PLCTTHDMGUTCKHGT_06614!B25),"|",COLUMN(PLCTTHDMGUTCKHGT_06614!B25),",0",",0")</f>
        <v>665062,25|2,0,0</v>
      </c>
      <c r="C25" t="str">
        <f>CONCATENATE(665127,",",ROW(PLCTTHDMGUTCKHGT_06614!C25),"|",COLUMN(PLCTTHDMGUTCKHGT_06614!C25),",0",",0")</f>
        <v>665127,25|3,0,0</v>
      </c>
      <c r="D25" t="str">
        <f>CONCATENATE(665033,",",ROW(PLCTTHDMGUTCKHGT_06614!D25),"|",COLUMN(PLCTTHDMGUTCKHGT_06614!D25),",0",",0")</f>
        <v>665033,25|4,0,0</v>
      </c>
      <c r="E25" t="str">
        <f>CONCATENATE(664980,",",ROW(PLCTTHDMGUTCKHGT_06614!E25),"|",COLUMN(PLCTTHDMGUTCKHGT_06614!E25),",0",",0")</f>
        <v>664980,25|5,0,0</v>
      </c>
    </row>
    <row r="26" spans="1:5" x14ac:dyDescent="0.25">
      <c r="A26" t="str">
        <f>CONCATENATE(664992,",",ROW(PLCTTHDMGUTCKHGT_06614!A26),"|",COLUMN(PLCTTHDMGUTCKHGT_06614!A26),",0",",0")</f>
        <v>664992,26|1,0,0</v>
      </c>
      <c r="B26" t="str">
        <f>CONCATENATE(665043,",",ROW(PLCTTHDMGUTCKHGT_06614!B26),"|",COLUMN(PLCTTHDMGUTCKHGT_06614!B26),",0",",0")</f>
        <v>665043,26|2,0,0</v>
      </c>
      <c r="C26" t="str">
        <f>CONCATENATE(664988,",",ROW(PLCTTHDMGUTCKHGT_06614!C26),"|",COLUMN(PLCTTHDMGUTCKHGT_06614!C26),",0",",0")</f>
        <v>664988,26|3,0,0</v>
      </c>
      <c r="D26" t="str">
        <f>CONCATENATE(664987,",",ROW(PLCTTHDMGUTCKHGT_06614!D26),"|",COLUMN(PLCTTHDMGUTCKHGT_06614!D26),",0",",0")</f>
        <v>664987,26|4,0,0</v>
      </c>
      <c r="E26" t="str">
        <f>CONCATENATE(665105,",",ROW(PLCTTHDMGUTCKHGT_06614!E26),"|",COLUMN(PLCTTHDMGUTCKHGT_06614!E26),",0",",0")</f>
        <v>665105,26|5,0,0</v>
      </c>
    </row>
    <row r="27" spans="1:5" x14ac:dyDescent="0.25">
      <c r="A27" t="str">
        <f>CONCATENATE(665074,",",ROW(PLCTTHDMGUTCKHGT_06614!A27),"|",COLUMN(PLCTTHDMGUTCKHGT_06614!A27),",0",",0")</f>
        <v>665074,27|1,0,0</v>
      </c>
      <c r="B27" t="str">
        <f>CONCATENATE(665068,",",ROW(PLCTTHDMGUTCKHGT_06614!B27),"|",COLUMN(PLCTTHDMGUTCKHGT_06614!B27),",0",",0")</f>
        <v>665068,27|2,0,0</v>
      </c>
      <c r="C27" t="str">
        <f>CONCATENATE(665161,",",ROW(PLCTTHDMGUTCKHGT_06614!C27),"|",COLUMN(PLCTTHDMGUTCKHGT_06614!C27),",0",",0")</f>
        <v>665161,27|3,0,0</v>
      </c>
      <c r="D27" t="str">
        <f>CONCATENATE(665017,",",ROW(PLCTTHDMGUTCKHGT_06614!D27),"|",COLUMN(PLCTTHDMGUTCKHGT_06614!D27),",0",",0")</f>
        <v>665017,27|4,0,0</v>
      </c>
      <c r="E27" t="str">
        <f>CONCATENATE(664999,",",ROW(PLCTTHDMGUTCKHGT_06614!E27),"|",COLUMN(PLCTTHDMGUTCKHGT_06614!E27),",0",",0")</f>
        <v>664999,27|5,0,0</v>
      </c>
    </row>
    <row r="28" spans="1:5" x14ac:dyDescent="0.25">
      <c r="A28" t="str">
        <f>CONCATENATE(665090,",",ROW(PLCTTHDMGUTCKHGT_06614!A28),"|",COLUMN(PLCTTHDMGUTCKHGT_06614!A28),",0",",0")</f>
        <v>665090,28|1,0,0</v>
      </c>
      <c r="B28" t="str">
        <f>CONCATENATE(665071,",",ROW(PLCTTHDMGUTCKHGT_06614!B28),"|",COLUMN(PLCTTHDMGUTCKHGT_06614!B28),",0",",0")</f>
        <v>665071,28|2,0,0</v>
      </c>
      <c r="C28" t="str">
        <f>CONCATENATE(665158,",",ROW(PLCTTHDMGUTCKHGT_06614!C28),"|",COLUMN(PLCTTHDMGUTCKHGT_06614!C28),",0",",0")</f>
        <v>665158,28|3,0,0</v>
      </c>
      <c r="D28" t="str">
        <f>CONCATENATE(665014,",",ROW(PLCTTHDMGUTCKHGT_06614!D28),"|",COLUMN(PLCTTHDMGUTCKHGT_06614!D28),",0",",0")</f>
        <v>665014,28|4,0,0</v>
      </c>
      <c r="E28" t="str">
        <f>CONCATENATE(665144,",",ROW(PLCTTHDMGUTCKHGT_06614!E28),"|",COLUMN(PLCTTHDMGUTCKHGT_06614!E28),",0",",0")</f>
        <v>665144,28|5,0,0</v>
      </c>
    </row>
    <row r="29" spans="1:5" x14ac:dyDescent="0.25">
      <c r="A29" t="str">
        <f>CONCATENATE(665055,",",ROW(PLCTTHDMGUTCKHGT_06614!A29),"|",COLUMN(PLCTTHDMGUTCKHGT_06614!A29),",0",",0")</f>
        <v>665055,29|1,0,0</v>
      </c>
      <c r="B29" t="str">
        <f>CONCATENATE(665063,",",ROW(PLCTTHDMGUTCKHGT_06614!B29),"|",COLUMN(PLCTTHDMGUTCKHGT_06614!B29),",0",",0")</f>
        <v>665063,29|2,0,0</v>
      </c>
      <c r="C29" t="str">
        <f>CONCATENATE(665128,",",ROW(PLCTTHDMGUTCKHGT_06614!C29),"|",COLUMN(PLCTTHDMGUTCKHGT_06614!C29),",0",",0")</f>
        <v>665128,29|3,0,0</v>
      </c>
      <c r="D29" t="str">
        <f>CONCATENATE(665034,",",ROW(PLCTTHDMGUTCKHGT_06614!D29),"|",COLUMN(PLCTTHDMGUTCKHGT_06614!D29),",0",",0")</f>
        <v>665034,29|4,0,0</v>
      </c>
      <c r="E29" t="str">
        <f>CONCATENATE(664981,",",ROW(PLCTTHDMGUTCKHGT_06614!E29),"|",COLUMN(PLCTTHDMGUTCKHGT_06614!E29),",0",",0")</f>
        <v>664981,29|5,0,0</v>
      </c>
    </row>
    <row r="30" spans="1:5" x14ac:dyDescent="0.25">
      <c r="A30" t="str">
        <f>CONCATENATE(665037,",",ROW(PLCTTHDMGUTCKHGT_06614!A30),"|",COLUMN(PLCTTHDMGUTCKHGT_06614!A30),",0",",0")</f>
        <v>665037,30|1,0,0</v>
      </c>
      <c r="B30" t="str">
        <f>CONCATENATE(665064,",",ROW(PLCTTHDMGUTCKHGT_06614!B30),"|",COLUMN(PLCTTHDMGUTCKHGT_06614!B30),",0",",0")</f>
        <v>665064,30|2,0,0</v>
      </c>
      <c r="C30" t="str">
        <f>CONCATENATE(665167,",",ROW(PLCTTHDMGUTCKHGT_06614!C30),"|",COLUMN(PLCTTHDMGUTCKHGT_06614!C30),",0",",0")</f>
        <v>665167,30|3,0,0</v>
      </c>
      <c r="D30" t="str">
        <f>CONCATENATE(665023,",",ROW(PLCTTHDMGUTCKHGT_06614!D30),"|",COLUMN(PLCTTHDMGUTCKHGT_06614!D30),",0",",0")</f>
        <v>665023,30|4,0,0</v>
      </c>
      <c r="E30" t="str">
        <f>CONCATENATE(665101,",",ROW(PLCTTHDMGUTCKHGT_06614!E30),"|",COLUMN(PLCTTHDMGUTCKHGT_06614!E30),",0",",0")</f>
        <v>665101,30|5,0,0</v>
      </c>
    </row>
    <row r="31" spans="1:5" x14ac:dyDescent="0.25">
      <c r="A31" t="str">
        <f>CONCATENATE(665038,",",ROW(PLCTTHDMGUTCKHGT_06614!A31),"|",COLUMN(PLCTTHDMGUTCKHGT_06614!A31),",0",",0")</f>
        <v>665038,31|1,0,0</v>
      </c>
      <c r="B31" t="str">
        <f>CONCATENATE(665082,",",ROW(PLCTTHDMGUTCKHGT_06614!B31),"|",COLUMN(PLCTTHDMGUTCKHGT_06614!B31),",0",",0")</f>
        <v>665082,31|2,0,0</v>
      </c>
      <c r="C31" t="str">
        <f>CONCATENATE(665148,",",ROW(PLCTTHDMGUTCKHGT_06614!C31),"|",COLUMN(PLCTTHDMGUTCKHGT_06614!C31),",0",",0")</f>
        <v>665148,31|3,0,0</v>
      </c>
      <c r="D31" t="str">
        <f>CONCATENATE(665005,",",ROW(PLCTTHDMGUTCKHGT_06614!D31),"|",COLUMN(PLCTTHDMGUTCKHGT_06614!D31),",0",",0")</f>
        <v>665005,31|4,0,0</v>
      </c>
      <c r="E31" t="str">
        <f>CONCATENATE(665134,",",ROW(PLCTTHDMGUTCKHGT_06614!E31),"|",COLUMN(PLCTTHDMGUTCKHGT_06614!E31),",0",",0")</f>
        <v>665134,31|5,0,0</v>
      </c>
    </row>
    <row r="32" spans="1:5" x14ac:dyDescent="0.25">
      <c r="A32" t="str">
        <f>CONCATENATE(665056,",",ROW(PLCTTHDMGUTCKHGT_06614!A32),"|",COLUMN(PLCTTHDMGUTCKHGT_06614!A32),",0",",0")</f>
        <v>665056,32|1,0,0</v>
      </c>
      <c r="B32" t="str">
        <f>CONCATENATE(665065,",",ROW(PLCTTHDMGUTCKHGT_06614!B32),"|",COLUMN(PLCTTHDMGUTCKHGT_06614!B32),",0",",0")</f>
        <v>665065,32|2,0,0</v>
      </c>
      <c r="C32" t="str">
        <f>CONCATENATE(665149,",",ROW(PLCTTHDMGUTCKHGT_06614!C32),"|",COLUMN(PLCTTHDMGUTCKHGT_06614!C32),",0",",0")</f>
        <v>665149,32|3,0,0</v>
      </c>
      <c r="D32" t="str">
        <f>CONCATENATE(665006,",",ROW(PLCTTHDMGUTCKHGT_06614!D32),"|",COLUMN(PLCTTHDMGUTCKHGT_06614!D32),",0",",0")</f>
        <v>665006,32|4,0,0</v>
      </c>
      <c r="E32" t="str">
        <f>CONCATENATE(665135,",",ROW(PLCTTHDMGUTCKHGT_06614!E32),"|",COLUMN(PLCTTHDMGUTCKHGT_06614!E32),",0",",0")</f>
        <v>665135,32|5,0,0</v>
      </c>
    </row>
    <row r="33" spans="1:5" x14ac:dyDescent="0.25">
      <c r="A33" t="str">
        <f>CONCATENATE(665112,",",ROW(PLCTTHDMGUTCKHGT_06614!A33),"|",COLUMN(PLCTTHDMGUTCKHGT_06614!A33),",0",",0")</f>
        <v>665112,33|1,0,0</v>
      </c>
      <c r="B33" t="str">
        <f>CONCATENATE(665069,",",ROW(PLCTTHDMGUTCKHGT_06614!B33),"|",COLUMN(PLCTTHDMGUTCKHGT_06614!B33),",0",",0")</f>
        <v>665069,33|2,0,0</v>
      </c>
      <c r="C33" t="str">
        <f>CONCATENATE(665150,",",ROW(PLCTTHDMGUTCKHGT_06614!C33),"|",COLUMN(PLCTTHDMGUTCKHGT_06614!C33),",0",",0")</f>
        <v>665150,33|3,0,0</v>
      </c>
      <c r="D33" t="str">
        <f>CONCATENATE(665007,",",ROW(PLCTTHDMGUTCKHGT_06614!D33),"|",COLUMN(PLCTTHDMGUTCKHGT_06614!D33),",0",",0")</f>
        <v>665007,33|4,0,0</v>
      </c>
      <c r="E33" t="str">
        <f>CONCATENATE(665136,",",ROW(PLCTTHDMGUTCKHGT_06614!E33),"|",COLUMN(PLCTTHDMGUTCKHGT_06614!E33),",0",",0")</f>
        <v>665136,33|5,0,0</v>
      </c>
    </row>
    <row r="34" spans="1:5" x14ac:dyDescent="0.25">
      <c r="A34" t="str">
        <f>CONCATENATE(665039,",",ROW(PLCTTHDMGUTCKHGT_06614!A34),"|",COLUMN(PLCTTHDMGUTCKHGT_06614!A34),",0",",0")</f>
        <v>665039,34|1,0,0</v>
      </c>
      <c r="B34" t="str">
        <f>CONCATENATE(665083,",",ROW(PLCTTHDMGUTCKHGT_06614!B34),"|",COLUMN(PLCTTHDMGUTCKHGT_06614!B34),",0",",0")</f>
        <v>665083,34|2,0,0</v>
      </c>
      <c r="C34" t="str">
        <f>CONCATENATE(665151,",",ROW(PLCTTHDMGUTCKHGT_06614!C34),"|",COLUMN(PLCTTHDMGUTCKHGT_06614!C34),",0",",0")</f>
        <v>665151,34|3,0,0</v>
      </c>
      <c r="D34" t="str">
        <f>CONCATENATE(665004,",",ROW(PLCTTHDMGUTCKHGT_06614!D34),"|",COLUMN(PLCTTHDMGUTCKHGT_06614!D34),",0",",0")</f>
        <v>665004,34|4,0,0</v>
      </c>
      <c r="E34" t="str">
        <f>CONCATENATE(665137,",",ROW(PLCTTHDMGUTCKHGT_06614!E34),"|",COLUMN(PLCTTHDMGUTCKHGT_06614!E34),",0",",0")</f>
        <v>665137,34|5,0,0</v>
      </c>
    </row>
    <row r="35" spans="1:5" x14ac:dyDescent="0.25">
      <c r="A35" t="str">
        <f>CONCATENATE(665113,",",ROW(PLCTTHDMGUTCKHGT_06614!A35),"|",COLUMN(PLCTTHDMGUTCKHGT_06614!A35),",0",",0")</f>
        <v>665113,35|1,0,0</v>
      </c>
      <c r="B35" t="str">
        <f>CONCATENATE(665070,",",ROW(PLCTTHDMGUTCKHGT_06614!B35),"|",COLUMN(PLCTTHDMGUTCKHGT_06614!B35),",0",",0")</f>
        <v>665070,35|2,0,0</v>
      </c>
      <c r="C35" t="str">
        <f>CONCATENATE(665152,",",ROW(PLCTTHDMGUTCKHGT_06614!C35),"|",COLUMN(PLCTTHDMGUTCKHGT_06614!C35),",0",",0")</f>
        <v>665152,35|3,0,0</v>
      </c>
      <c r="D35" t="str">
        <f>CONCATENATE(665008,",",ROW(PLCTTHDMGUTCKHGT_06614!D35),"|",COLUMN(PLCTTHDMGUTCKHGT_06614!D35),",0",",0")</f>
        <v>665008,35|4,0,0</v>
      </c>
      <c r="E35" t="str">
        <f>CONCATENATE(665138,",",ROW(PLCTTHDMGUTCKHGT_06614!E35),"|",COLUMN(PLCTTHDMGUTCKHGT_06614!E35),",0",",0")</f>
        <v>665138,35|5,0,0</v>
      </c>
    </row>
    <row r="36" spans="1:5" x14ac:dyDescent="0.25">
      <c r="A36" t="str">
        <f>CONCATENATE(665114,",",ROW(PLCTTHDMGUTCKHGT_06614!A36),"|",COLUMN(PLCTTHDMGUTCKHGT_06614!A36),",0",",0")</f>
        <v>665114,36|1,0,0</v>
      </c>
      <c r="B36" t="str">
        <f>CONCATENATE(665066,",",ROW(PLCTTHDMGUTCKHGT_06614!B36),"|",COLUMN(PLCTTHDMGUTCKHGT_06614!B36),",0",",0")</f>
        <v>665066,36|2,0,0</v>
      </c>
      <c r="C36" t="str">
        <f>CONCATENATE(665153,",",ROW(PLCTTHDMGUTCKHGT_06614!C36),"|",COLUMN(PLCTTHDMGUTCKHGT_06614!C36),",0",",0")</f>
        <v>665153,36|3,0,0</v>
      </c>
      <c r="D36" t="str">
        <f>CONCATENATE(665009,",",ROW(PLCTTHDMGUTCKHGT_06614!D36),"|",COLUMN(PLCTTHDMGUTCKHGT_06614!D36),",0",",0")</f>
        <v>665009,36|4,0,0</v>
      </c>
      <c r="E36" t="str">
        <f>CONCATENATE(665139,",",ROW(PLCTTHDMGUTCKHGT_06614!E36),"|",COLUMN(PLCTTHDMGUTCKHGT_06614!E36),",0",",0")</f>
        <v>665139,36|5,0,0</v>
      </c>
    </row>
    <row r="37" spans="1:5" x14ac:dyDescent="0.25">
      <c r="A37" t="str">
        <f>CONCATENATE(664993,",",ROW(PLCTTHDMGUTCKHGT_06614!A37),"|",COLUMN(PLCTTHDMGUTCKHGT_06614!A37),",0",",0")</f>
        <v>664993,37|1,0,0</v>
      </c>
      <c r="B37" t="str">
        <f>CONCATENATE(665146,",",ROW(PLCTTHDMGUTCKHGT_06614!B37),"|",COLUMN(PLCTTHDMGUTCKHGT_06614!B37),",0",",0")</f>
        <v>665146,37|2,0,0</v>
      </c>
      <c r="C37" t="str">
        <f>CONCATENATE(665154,",",ROW(PLCTTHDMGUTCKHGT_06614!C37),"|",COLUMN(PLCTTHDMGUTCKHGT_06614!C37),",0",",0")</f>
        <v>665154,37|3,0,0</v>
      </c>
      <c r="D37" t="str">
        <f>CONCATENATE(665010,",",ROW(PLCTTHDMGUTCKHGT_06614!D37),"|",COLUMN(PLCTTHDMGUTCKHGT_06614!D37),",0",",0")</f>
        <v>665010,37|4,0,0</v>
      </c>
      <c r="E37" t="str">
        <f>CONCATENATE(665140,",",ROW(PLCTTHDMGUTCKHGT_06614!E37),"|",COLUMN(PLCTTHDMGUTCKHGT_06614!E37),",0",",0")</f>
        <v>665140,37|5,0,0</v>
      </c>
    </row>
    <row r="38" spans="1:5" x14ac:dyDescent="0.25">
      <c r="A38" t="str">
        <f>CONCATENATE(664994,",",ROW(PLCTTHDMGUTCKHGT_06614!A38),"|",COLUMN(PLCTTHDMGUTCKHGT_06614!A38),",0",",0")</f>
        <v>664994,38|1,0,0</v>
      </c>
      <c r="B38" t="str">
        <f>CONCATENATE(665091,",",ROW(PLCTTHDMGUTCKHGT_06614!B38),"|",COLUMN(PLCTTHDMGUTCKHGT_06614!B38),",0",",0")</f>
        <v>665091,38|2,0,0</v>
      </c>
      <c r="C38" t="str">
        <f>CONCATENATE(665155,",",ROW(PLCTTHDMGUTCKHGT_06614!C38),"|",COLUMN(PLCTTHDMGUTCKHGT_06614!C38),",0",",0")</f>
        <v>665155,38|3,0,0</v>
      </c>
      <c r="D38" t="str">
        <f>CONCATENATE(665011,",",ROW(PLCTTHDMGUTCKHGT_06614!D38),"|",COLUMN(PLCTTHDMGUTCKHGT_06614!D38),",0",",0")</f>
        <v>665011,38|4,0,0</v>
      </c>
      <c r="E38" t="str">
        <f>CONCATENATE(665141,",",ROW(PLCTTHDMGUTCKHGT_06614!E38),"|",COLUMN(PLCTTHDMGUTCKHGT_06614!E38),",0",",0")</f>
        <v>665141,38|5,0,0</v>
      </c>
    </row>
    <row r="39" spans="1:5" x14ac:dyDescent="0.25">
      <c r="A39" t="str">
        <f>CONCATENATE(665115,",",ROW(PLCTTHDMGUTCKHGT_06614!A39),"|",COLUMN(PLCTTHDMGUTCKHGT_06614!A39),",0",",0")</f>
        <v>665115,39|1,0,0</v>
      </c>
      <c r="B39" t="str">
        <f>CONCATENATE(665147,",",ROW(PLCTTHDMGUTCKHGT_06614!B39),"|",COLUMN(PLCTTHDMGUTCKHGT_06614!B39),",0",",0")</f>
        <v>665147,39|2,0,0</v>
      </c>
      <c r="C39" t="str">
        <f>CONCATENATE(665156,",",ROW(PLCTTHDMGUTCKHGT_06614!C39),"|",COLUMN(PLCTTHDMGUTCKHGT_06614!C39),",0",",0")</f>
        <v>665156,39|3,0,0</v>
      </c>
      <c r="D39" t="str">
        <f>CONCATENATE(665012,",",ROW(PLCTTHDMGUTCKHGT_06614!D39),"|",COLUMN(PLCTTHDMGUTCKHGT_06614!D39),",0",",0")</f>
        <v>665012,39|4,0,0</v>
      </c>
      <c r="E39" t="str">
        <f>CONCATENATE(665142,",",ROW(PLCTTHDMGUTCKHGT_06614!E39),"|",COLUMN(PLCTTHDMGUTCKHGT_06614!E39),",0",",0")</f>
        <v>665142,39|5,0,0</v>
      </c>
    </row>
    <row r="40" spans="1:5" x14ac:dyDescent="0.25">
      <c r="A40" t="str">
        <f>CONCATENATE(665116,",",ROW(PLCTTHDMGUTCKHGT_06614!A40),"|",COLUMN(PLCTTHDMGUTCKHGT_06614!A40),",0",",0")</f>
        <v>665116,40|1,0,0</v>
      </c>
      <c r="B40" t="str">
        <f>CONCATENATE(665085,",",ROW(PLCTTHDMGUTCKHGT_06614!B40),"|",COLUMN(PLCTTHDMGUTCKHGT_06614!B40),",0",",0")</f>
        <v>665085,40|2,0,0</v>
      </c>
      <c r="C40" t="str">
        <f>CONCATENATE(665157,",",ROW(PLCTTHDMGUTCKHGT_06614!C40),"|",COLUMN(PLCTTHDMGUTCKHGT_06614!C40),",0",",0")</f>
        <v>665157,40|3,0,0</v>
      </c>
      <c r="D40" t="str">
        <f>CONCATENATE(665013,",",ROW(PLCTTHDMGUTCKHGT_06614!D40),"|",COLUMN(PLCTTHDMGUTCKHGT_06614!D40),",0",",0")</f>
        <v>665013,40|4,0,0</v>
      </c>
      <c r="E40" t="str">
        <f>CONCATENATE(665143,",",ROW(PLCTTHDMGUTCKHGT_06614!E40),"|",COLUMN(PLCTTHDMGUTCKHGT_06614!E40),",0",",0")</f>
        <v>665143,40|5,0,0</v>
      </c>
    </row>
  </sheetData>
  <sheetProtection password="CB7D" sheet="1" objects="1" scenarios="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9"/>
  <sheetViews>
    <sheetView workbookViewId="0">
      <selection activeCell="A7" sqref="A7:A29"/>
    </sheetView>
  </sheetViews>
  <sheetFormatPr defaultRowHeight="15" x14ac:dyDescent="0.25"/>
  <cols>
    <col min="1" max="1" width="31.28515625" bestFit="1" customWidth="1"/>
    <col min="2" max="2" width="16.7109375" bestFit="1" customWidth="1"/>
    <col min="3" max="10" width="17.5703125" customWidth="1"/>
    <col min="11" max="11" width="14.85546875" bestFit="1" customWidth="1"/>
  </cols>
  <sheetData>
    <row r="1" spans="1:11" ht="20.25" x14ac:dyDescent="0.3">
      <c r="A1" s="1627" t="s">
        <v>22</v>
      </c>
      <c r="B1" s="1627" t="s">
        <v>5</v>
      </c>
      <c r="C1" s="1627" t="s">
        <v>5</v>
      </c>
      <c r="D1" s="1627" t="s">
        <v>5</v>
      </c>
      <c r="E1" s="1627" t="s">
        <v>5</v>
      </c>
      <c r="F1" s="1627" t="s">
        <v>5</v>
      </c>
      <c r="G1" s="1627" t="s">
        <v>5</v>
      </c>
      <c r="H1" s="1627" t="s">
        <v>5</v>
      </c>
      <c r="I1" s="1627" t="s">
        <v>5</v>
      </c>
      <c r="J1" s="1627" t="s">
        <v>5</v>
      </c>
      <c r="K1" s="1627" t="s">
        <v>5</v>
      </c>
    </row>
    <row r="2" spans="1:11" ht="18.75" x14ac:dyDescent="0.3">
      <c r="A2" s="1628" t="s">
        <v>722</v>
      </c>
      <c r="B2" s="1629" t="s">
        <v>5</v>
      </c>
      <c r="C2" s="1629" t="s">
        <v>5</v>
      </c>
      <c r="D2" s="1629" t="s">
        <v>5</v>
      </c>
      <c r="E2" s="1629" t="s">
        <v>5</v>
      </c>
      <c r="F2" s="1629" t="s">
        <v>5</v>
      </c>
      <c r="G2" s="1629" t="s">
        <v>5</v>
      </c>
      <c r="H2" s="1629" t="s">
        <v>5</v>
      </c>
      <c r="I2" s="1629" t="s">
        <v>5</v>
      </c>
      <c r="J2" s="1629" t="s">
        <v>5</v>
      </c>
      <c r="K2" s="1629" t="s">
        <v>5</v>
      </c>
    </row>
    <row r="3" spans="1:11" ht="18.75" x14ac:dyDescent="0.3">
      <c r="A3" s="1628" t="s">
        <v>507</v>
      </c>
      <c r="B3" s="1629" t="s">
        <v>5</v>
      </c>
      <c r="C3" s="1629" t="s">
        <v>5</v>
      </c>
      <c r="D3" s="1629" t="s">
        <v>5</v>
      </c>
      <c r="E3" s="1629" t="s">
        <v>5</v>
      </c>
      <c r="F3" s="1629" t="s">
        <v>5</v>
      </c>
      <c r="G3" s="1629" t="s">
        <v>5</v>
      </c>
      <c r="H3" s="1629" t="s">
        <v>5</v>
      </c>
      <c r="I3" s="1629" t="s">
        <v>5</v>
      </c>
      <c r="J3" s="1629" t="s">
        <v>5</v>
      </c>
      <c r="K3" s="1629" t="s">
        <v>5</v>
      </c>
    </row>
    <row r="4" spans="1:11" x14ac:dyDescent="0.25">
      <c r="A4" s="1625" t="s">
        <v>387</v>
      </c>
      <c r="B4" s="1625" t="s">
        <v>32</v>
      </c>
      <c r="C4" s="1625" t="s">
        <v>719</v>
      </c>
      <c r="D4" s="1626" t="s">
        <v>5</v>
      </c>
      <c r="E4" s="1625" t="s">
        <v>716</v>
      </c>
      <c r="F4" s="1626" t="s">
        <v>5</v>
      </c>
      <c r="G4" s="1626" t="s">
        <v>5</v>
      </c>
      <c r="H4" s="1626" t="s">
        <v>5</v>
      </c>
      <c r="I4" s="1625" t="s">
        <v>718</v>
      </c>
      <c r="J4" s="1626" t="s">
        <v>5</v>
      </c>
      <c r="K4" s="1625" t="s">
        <v>717</v>
      </c>
    </row>
    <row r="5" spans="1:11" x14ac:dyDescent="0.25">
      <c r="A5" s="1626" t="s">
        <v>5</v>
      </c>
      <c r="B5" s="1626" t="s">
        <v>5</v>
      </c>
      <c r="C5" s="1625" t="s">
        <v>714</v>
      </c>
      <c r="D5" s="1625" t="s">
        <v>715</v>
      </c>
      <c r="E5" s="1625" t="s">
        <v>714</v>
      </c>
      <c r="F5" s="1626" t="s">
        <v>5</v>
      </c>
      <c r="G5" s="1625" t="s">
        <v>715</v>
      </c>
      <c r="H5" s="1626" t="s">
        <v>5</v>
      </c>
      <c r="I5" s="1625" t="s">
        <v>714</v>
      </c>
      <c r="J5" s="1625" t="s">
        <v>715</v>
      </c>
      <c r="K5" s="1626" t="s">
        <v>5</v>
      </c>
    </row>
    <row r="6" spans="1:11" ht="18.75" x14ac:dyDescent="0.25">
      <c r="A6" s="1626" t="s">
        <v>5</v>
      </c>
      <c r="B6" s="1626" t="s">
        <v>5</v>
      </c>
      <c r="C6" s="1626" t="s">
        <v>5</v>
      </c>
      <c r="D6" s="1626" t="s">
        <v>5</v>
      </c>
      <c r="E6" s="1538" t="s">
        <v>721</v>
      </c>
      <c r="F6" s="1538" t="s">
        <v>720</v>
      </c>
      <c r="G6" s="1538" t="s">
        <v>721</v>
      </c>
      <c r="H6" s="1538" t="s">
        <v>720</v>
      </c>
      <c r="I6" s="1626" t="s">
        <v>5</v>
      </c>
      <c r="J6" s="1626" t="s">
        <v>5</v>
      </c>
      <c r="K6" s="1626" t="s">
        <v>5</v>
      </c>
    </row>
    <row r="7" spans="1:11" ht="33" x14ac:dyDescent="0.25">
      <c r="A7" s="1569" t="s">
        <v>739</v>
      </c>
      <c r="B7" s="1572"/>
      <c r="C7" s="2340" t="s">
        <v>5</v>
      </c>
      <c r="D7" s="2341" t="s">
        <v>5</v>
      </c>
      <c r="E7" s="2342" t="s">
        <v>5</v>
      </c>
      <c r="F7" s="2343" t="s">
        <v>5</v>
      </c>
      <c r="G7" s="2344" t="s">
        <v>5</v>
      </c>
      <c r="H7" s="2345" t="s">
        <v>5</v>
      </c>
      <c r="I7" s="2346" t="s">
        <v>5</v>
      </c>
      <c r="J7" s="2347" t="s">
        <v>5</v>
      </c>
      <c r="K7" s="1583" t="s">
        <v>745</v>
      </c>
    </row>
    <row r="8" spans="1:11" ht="33" x14ac:dyDescent="0.25">
      <c r="A8" s="1564" t="s">
        <v>734</v>
      </c>
      <c r="B8" s="1573"/>
      <c r="C8" s="2348">
        <v>1648006180000</v>
      </c>
      <c r="D8" s="2349">
        <v>1648006180000</v>
      </c>
      <c r="E8" s="2350">
        <v>0</v>
      </c>
      <c r="F8" s="2351">
        <v>0</v>
      </c>
      <c r="G8" s="2352">
        <v>0</v>
      </c>
      <c r="H8" s="2353">
        <v>0</v>
      </c>
      <c r="I8" s="2354">
        <v>1648006180000</v>
      </c>
      <c r="J8" s="2355">
        <v>1648006180000</v>
      </c>
      <c r="K8" s="1580" t="s">
        <v>742</v>
      </c>
    </row>
    <row r="9" spans="1:11" ht="49.5" x14ac:dyDescent="0.25">
      <c r="A9" s="1597" t="s">
        <v>758</v>
      </c>
      <c r="B9" s="1577"/>
      <c r="C9" s="2356" t="s">
        <v>5</v>
      </c>
      <c r="D9" s="2357" t="s">
        <v>5</v>
      </c>
      <c r="E9" s="2358" t="s">
        <v>5</v>
      </c>
      <c r="F9" s="2359" t="s">
        <v>5</v>
      </c>
      <c r="G9" s="2360" t="s">
        <v>5</v>
      </c>
      <c r="H9" s="2361" t="s">
        <v>5</v>
      </c>
      <c r="I9" s="2362" t="s">
        <v>5</v>
      </c>
      <c r="J9" s="2363" t="s">
        <v>5</v>
      </c>
      <c r="K9" s="1558" t="s">
        <v>728</v>
      </c>
    </row>
    <row r="10" spans="1:11" ht="33" x14ac:dyDescent="0.25">
      <c r="A10" s="1598" t="s">
        <v>759</v>
      </c>
      <c r="B10" s="1578"/>
      <c r="C10" s="2364" t="s">
        <v>5</v>
      </c>
      <c r="D10" s="2365" t="s">
        <v>5</v>
      </c>
      <c r="E10" s="2366" t="s">
        <v>5</v>
      </c>
      <c r="F10" s="2367" t="s">
        <v>5</v>
      </c>
      <c r="G10" s="2368" t="s">
        <v>5</v>
      </c>
      <c r="H10" s="2369" t="s">
        <v>5</v>
      </c>
      <c r="I10" s="2370" t="s">
        <v>5</v>
      </c>
      <c r="J10" s="2371" t="s">
        <v>5</v>
      </c>
      <c r="K10" s="1584" t="s">
        <v>746</v>
      </c>
    </row>
    <row r="11" spans="1:11" ht="33" x14ac:dyDescent="0.25">
      <c r="A11" s="1566" t="s">
        <v>736</v>
      </c>
      <c r="B11" s="1579"/>
      <c r="C11" s="2372" t="s">
        <v>5</v>
      </c>
      <c r="D11" s="2373" t="s">
        <v>5</v>
      </c>
      <c r="E11" s="2374" t="s">
        <v>5</v>
      </c>
      <c r="F11" s="2375" t="s">
        <v>5</v>
      </c>
      <c r="G11" s="2376" t="s">
        <v>5</v>
      </c>
      <c r="H11" s="2377" t="s">
        <v>5</v>
      </c>
      <c r="I11" s="2378" t="s">
        <v>5</v>
      </c>
      <c r="J11" s="2379" t="s">
        <v>5</v>
      </c>
      <c r="K11" s="1559" t="s">
        <v>729</v>
      </c>
    </row>
    <row r="12" spans="1:11" ht="49.5" x14ac:dyDescent="0.25">
      <c r="A12" s="1571" t="s">
        <v>741</v>
      </c>
      <c r="B12" s="1543"/>
      <c r="C12" s="2380" t="s">
        <v>5</v>
      </c>
      <c r="D12" s="2381" t="s">
        <v>5</v>
      </c>
      <c r="E12" s="2382" t="s">
        <v>5</v>
      </c>
      <c r="F12" s="2383" t="s">
        <v>5</v>
      </c>
      <c r="G12" s="2384" t="s">
        <v>5</v>
      </c>
      <c r="H12" s="2385" t="s">
        <v>5</v>
      </c>
      <c r="I12" s="2386" t="s">
        <v>5</v>
      </c>
      <c r="J12" s="2387" t="s">
        <v>5</v>
      </c>
      <c r="K12" s="1585" t="s">
        <v>747</v>
      </c>
    </row>
    <row r="13" spans="1:11" ht="49.5" x14ac:dyDescent="0.25">
      <c r="A13" s="1606" t="s">
        <v>767</v>
      </c>
      <c r="B13" s="1574"/>
      <c r="C13" s="2388">
        <v>1648006180000</v>
      </c>
      <c r="D13" s="2389">
        <v>1648006180000</v>
      </c>
      <c r="E13" s="2390">
        <v>0</v>
      </c>
      <c r="F13" s="2391">
        <v>0</v>
      </c>
      <c r="G13" s="2392">
        <v>0</v>
      </c>
      <c r="H13" s="2393">
        <v>0</v>
      </c>
      <c r="I13" s="2394">
        <v>1648006180000</v>
      </c>
      <c r="J13" s="2395">
        <v>1648006180000</v>
      </c>
      <c r="K13" s="1581" t="s">
        <v>743</v>
      </c>
    </row>
    <row r="14" spans="1:11" ht="33" x14ac:dyDescent="0.25">
      <c r="A14" s="1565" t="s">
        <v>735</v>
      </c>
      <c r="B14" s="1575"/>
      <c r="C14" s="2396" t="s">
        <v>5</v>
      </c>
      <c r="D14" s="2397" t="s">
        <v>5</v>
      </c>
      <c r="E14" s="2398" t="s">
        <v>5</v>
      </c>
      <c r="F14" s="2399" t="s">
        <v>5</v>
      </c>
      <c r="G14" s="2400" t="s">
        <v>5</v>
      </c>
      <c r="H14" s="2401" t="s">
        <v>5</v>
      </c>
      <c r="I14" s="2402" t="s">
        <v>5</v>
      </c>
      <c r="J14" s="2403" t="s">
        <v>5</v>
      </c>
      <c r="K14" s="1582" t="s">
        <v>744</v>
      </c>
    </row>
    <row r="15" spans="1:11" ht="33" x14ac:dyDescent="0.25">
      <c r="A15" s="1596" t="s">
        <v>757</v>
      </c>
      <c r="B15" s="1576"/>
      <c r="C15" s="2404" t="s">
        <v>5</v>
      </c>
      <c r="D15" s="2405" t="s">
        <v>5</v>
      </c>
      <c r="E15" s="2406" t="s">
        <v>5</v>
      </c>
      <c r="F15" s="2407" t="s">
        <v>5</v>
      </c>
      <c r="G15" s="2408" t="s">
        <v>5</v>
      </c>
      <c r="H15" s="2409" t="s">
        <v>5</v>
      </c>
      <c r="I15" s="2410" t="s">
        <v>5</v>
      </c>
      <c r="J15" s="2411" t="s">
        <v>5</v>
      </c>
      <c r="K15" s="1557" t="s">
        <v>727</v>
      </c>
    </row>
    <row r="16" spans="1:11" ht="49.5" x14ac:dyDescent="0.25">
      <c r="A16" s="1602" t="s">
        <v>763</v>
      </c>
      <c r="B16" s="1544"/>
      <c r="C16" s="2412" t="s">
        <v>5</v>
      </c>
      <c r="D16" s="2413" t="s">
        <v>5</v>
      </c>
      <c r="E16" s="2414" t="s">
        <v>5</v>
      </c>
      <c r="F16" s="2415" t="s">
        <v>5</v>
      </c>
      <c r="G16" s="2416" t="s">
        <v>5</v>
      </c>
      <c r="H16" s="2417" t="s">
        <v>5</v>
      </c>
      <c r="I16" s="2418" t="s">
        <v>5</v>
      </c>
      <c r="J16" s="2419" t="s">
        <v>5</v>
      </c>
      <c r="K16" s="1586" t="s">
        <v>748</v>
      </c>
    </row>
    <row r="17" spans="1:11" ht="49.5" x14ac:dyDescent="0.25">
      <c r="A17" s="1599" t="s">
        <v>760</v>
      </c>
      <c r="B17" s="1545"/>
      <c r="C17" s="2420" t="s">
        <v>5</v>
      </c>
      <c r="D17" s="2421" t="s">
        <v>5</v>
      </c>
      <c r="E17" s="2422" t="s">
        <v>5</v>
      </c>
      <c r="F17" s="2423" t="s">
        <v>5</v>
      </c>
      <c r="G17" s="2424" t="s">
        <v>5</v>
      </c>
      <c r="H17" s="2425" t="s">
        <v>5</v>
      </c>
      <c r="I17" s="2426" t="s">
        <v>5</v>
      </c>
      <c r="J17" s="2427" t="s">
        <v>5</v>
      </c>
      <c r="K17" s="1539" t="s">
        <v>723</v>
      </c>
    </row>
    <row r="18" spans="1:11" ht="33" x14ac:dyDescent="0.25">
      <c r="A18" s="1567" t="s">
        <v>737</v>
      </c>
      <c r="B18" s="1546"/>
      <c r="C18" s="2428" t="s">
        <v>5</v>
      </c>
      <c r="D18" s="2429" t="s">
        <v>5</v>
      </c>
      <c r="E18" s="2430" t="s">
        <v>5</v>
      </c>
      <c r="F18" s="2431" t="s">
        <v>5</v>
      </c>
      <c r="G18" s="2432" t="s">
        <v>5</v>
      </c>
      <c r="H18" s="2433" t="s">
        <v>5</v>
      </c>
      <c r="I18" s="2434" t="s">
        <v>5</v>
      </c>
      <c r="J18" s="2435" t="s">
        <v>5</v>
      </c>
      <c r="K18" s="1540" t="s">
        <v>724</v>
      </c>
    </row>
    <row r="19" spans="1:11" ht="49.5" x14ac:dyDescent="0.25">
      <c r="A19" s="1605" t="s">
        <v>766</v>
      </c>
      <c r="B19" s="1547"/>
      <c r="C19" s="2436" t="s">
        <v>5</v>
      </c>
      <c r="D19" s="2437" t="s">
        <v>5</v>
      </c>
      <c r="E19" s="2438" t="s">
        <v>5</v>
      </c>
      <c r="F19" s="2439" t="s">
        <v>5</v>
      </c>
      <c r="G19" s="2440" t="s">
        <v>5</v>
      </c>
      <c r="H19" s="2441" t="s">
        <v>5</v>
      </c>
      <c r="I19" s="2442" t="s">
        <v>5</v>
      </c>
      <c r="J19" s="2443" t="s">
        <v>5</v>
      </c>
      <c r="K19" s="1560" t="s">
        <v>730</v>
      </c>
    </row>
    <row r="20" spans="1:11" ht="33" x14ac:dyDescent="0.25">
      <c r="A20" s="1600" t="s">
        <v>761</v>
      </c>
      <c r="B20" s="1548"/>
      <c r="C20" s="2444">
        <v>329930214752</v>
      </c>
      <c r="D20" s="2445">
        <v>173299240483</v>
      </c>
      <c r="E20" s="2446">
        <v>0</v>
      </c>
      <c r="F20" s="2447">
        <v>8771571072</v>
      </c>
      <c r="G20" s="2448">
        <v>227595833447</v>
      </c>
      <c r="H20" s="2449">
        <v>32762192390</v>
      </c>
      <c r="I20" s="2450">
        <v>321158643680</v>
      </c>
      <c r="J20" s="2451">
        <v>368132881540</v>
      </c>
      <c r="K20" s="1561" t="s">
        <v>731</v>
      </c>
    </row>
    <row r="21" spans="1:11" ht="49.5" x14ac:dyDescent="0.25">
      <c r="A21" s="1592" t="s">
        <v>754</v>
      </c>
      <c r="B21" s="1549"/>
      <c r="C21" s="2452">
        <v>306437989523</v>
      </c>
      <c r="D21" s="2453">
        <v>237625142284</v>
      </c>
      <c r="E21" s="2454">
        <v>0</v>
      </c>
      <c r="F21" s="2455">
        <v>5170304985</v>
      </c>
      <c r="G21" s="2456">
        <v>0</v>
      </c>
      <c r="H21" s="2457">
        <v>32762192390</v>
      </c>
      <c r="I21" s="2458">
        <v>301267684538</v>
      </c>
      <c r="J21" s="2459">
        <v>204862949894</v>
      </c>
      <c r="K21" s="1587" t="s">
        <v>749</v>
      </c>
    </row>
    <row r="22" spans="1:11" ht="33" x14ac:dyDescent="0.25">
      <c r="A22" s="1601" t="s">
        <v>762</v>
      </c>
      <c r="B22" s="1550"/>
      <c r="C22" s="2460">
        <v>23492225229</v>
      </c>
      <c r="D22" s="2461">
        <v>-64325901801</v>
      </c>
      <c r="E22" s="2462">
        <v>0</v>
      </c>
      <c r="F22" s="2463">
        <v>3601266087</v>
      </c>
      <c r="G22" s="2464">
        <v>227595833447</v>
      </c>
      <c r="H22" s="2465">
        <v>0</v>
      </c>
      <c r="I22" s="2466">
        <v>19890959142</v>
      </c>
      <c r="J22" s="2467">
        <v>163269931646</v>
      </c>
      <c r="K22" s="1562" t="s">
        <v>732</v>
      </c>
    </row>
    <row r="23" spans="1:11" ht="33" x14ac:dyDescent="0.25">
      <c r="A23" s="1568" t="s">
        <v>738</v>
      </c>
      <c r="B23" s="1551"/>
      <c r="C23" s="2468">
        <v>1977936394752</v>
      </c>
      <c r="D23" s="2469">
        <v>1821305420483</v>
      </c>
      <c r="E23" s="2470">
        <v>0</v>
      </c>
      <c r="F23" s="2471">
        <v>8771571072</v>
      </c>
      <c r="G23" s="2472">
        <v>227595833447</v>
      </c>
      <c r="H23" s="2473">
        <v>32762192390</v>
      </c>
      <c r="I23" s="2474">
        <v>1969164823680</v>
      </c>
      <c r="J23" s="2475">
        <v>2016139061540</v>
      </c>
      <c r="K23" s="1588" t="s">
        <v>750</v>
      </c>
    </row>
    <row r="24" spans="1:11" ht="33" x14ac:dyDescent="0.25">
      <c r="A24" s="1603" t="s">
        <v>764</v>
      </c>
      <c r="B24" s="1552"/>
      <c r="C24" s="2476" t="s">
        <v>5</v>
      </c>
      <c r="D24" s="2477" t="s">
        <v>5</v>
      </c>
      <c r="E24" s="2478" t="s">
        <v>5</v>
      </c>
      <c r="F24" s="2479" t="s">
        <v>5</v>
      </c>
      <c r="G24" s="2480" t="s">
        <v>5</v>
      </c>
      <c r="H24" s="2481" t="s">
        <v>5</v>
      </c>
      <c r="I24" s="2482" t="s">
        <v>5</v>
      </c>
      <c r="J24" s="2483" t="s">
        <v>5</v>
      </c>
      <c r="K24" s="1541" t="s">
        <v>725</v>
      </c>
    </row>
    <row r="25" spans="1:11" ht="49.5" x14ac:dyDescent="0.25">
      <c r="A25" s="1604" t="s">
        <v>765</v>
      </c>
      <c r="B25" s="1553"/>
      <c r="C25" s="2484" t="s">
        <v>5</v>
      </c>
      <c r="D25" s="2485" t="s">
        <v>5</v>
      </c>
      <c r="E25" s="2486" t="s">
        <v>5</v>
      </c>
      <c r="F25" s="2487" t="s">
        <v>5</v>
      </c>
      <c r="G25" s="2488" t="s">
        <v>5</v>
      </c>
      <c r="H25" s="2489" t="s">
        <v>5</v>
      </c>
      <c r="I25" s="2490" t="s">
        <v>5</v>
      </c>
      <c r="J25" s="2491" t="s">
        <v>5</v>
      </c>
      <c r="K25" s="1589" t="s">
        <v>751</v>
      </c>
    </row>
    <row r="26" spans="1:11" ht="49.5" x14ac:dyDescent="0.25">
      <c r="A26" s="1593" t="s">
        <v>755</v>
      </c>
      <c r="B26" s="1554"/>
      <c r="C26" s="2492" t="s">
        <v>5</v>
      </c>
      <c r="D26" s="2493" t="s">
        <v>5</v>
      </c>
      <c r="E26" s="2494" t="s">
        <v>5</v>
      </c>
      <c r="F26" s="2495" t="s">
        <v>5</v>
      </c>
      <c r="G26" s="2496" t="s">
        <v>5</v>
      </c>
      <c r="H26" s="2497" t="s">
        <v>5</v>
      </c>
      <c r="I26" s="2498" t="s">
        <v>5</v>
      </c>
      <c r="J26" s="2499" t="s">
        <v>5</v>
      </c>
      <c r="K26" s="1563" t="s">
        <v>733</v>
      </c>
    </row>
    <row r="27" spans="1:11" ht="49.5" x14ac:dyDescent="0.25">
      <c r="A27" s="1594" t="s">
        <v>756</v>
      </c>
      <c r="B27" s="1555"/>
      <c r="C27" s="2500" t="s">
        <v>5</v>
      </c>
      <c r="D27" s="2501" t="s">
        <v>5</v>
      </c>
      <c r="E27" s="2502" t="s">
        <v>5</v>
      </c>
      <c r="F27" s="2503" t="s">
        <v>5</v>
      </c>
      <c r="G27" s="2504" t="s">
        <v>5</v>
      </c>
      <c r="H27" s="2505" t="s">
        <v>5</v>
      </c>
      <c r="I27" s="2506" t="s">
        <v>5</v>
      </c>
      <c r="J27" s="2507" t="s">
        <v>5</v>
      </c>
      <c r="K27" s="1590" t="s">
        <v>752</v>
      </c>
    </row>
    <row r="28" spans="1:11" ht="33" x14ac:dyDescent="0.25">
      <c r="A28" s="1570" t="s">
        <v>740</v>
      </c>
      <c r="B28" s="1556"/>
      <c r="C28" s="2508" t="s">
        <v>5</v>
      </c>
      <c r="D28" s="2509" t="s">
        <v>5</v>
      </c>
      <c r="E28" s="2510" t="s">
        <v>5</v>
      </c>
      <c r="F28" s="2511" t="s">
        <v>5</v>
      </c>
      <c r="G28" s="2512" t="s">
        <v>5</v>
      </c>
      <c r="H28" s="2513" t="s">
        <v>5</v>
      </c>
      <c r="I28" s="2514" t="s">
        <v>5</v>
      </c>
      <c r="J28" s="2515" t="s">
        <v>5</v>
      </c>
      <c r="K28" s="1542" t="s">
        <v>726</v>
      </c>
    </row>
    <row r="29" spans="1:11" ht="33" x14ac:dyDescent="0.25">
      <c r="A29" s="1595" t="s">
        <v>738</v>
      </c>
      <c r="B29" s="1607"/>
      <c r="C29" s="2516" t="s">
        <v>5</v>
      </c>
      <c r="D29" s="2517" t="s">
        <v>5</v>
      </c>
      <c r="E29" s="2518" t="s">
        <v>5</v>
      </c>
      <c r="F29" s="2519" t="s">
        <v>5</v>
      </c>
      <c r="G29" s="2520" t="s">
        <v>5</v>
      </c>
      <c r="H29" s="2521" t="s">
        <v>5</v>
      </c>
      <c r="I29" s="2522" t="s">
        <v>5</v>
      </c>
      <c r="J29" s="2523" t="s">
        <v>5</v>
      </c>
      <c r="K29" s="1591" t="s">
        <v>753</v>
      </c>
    </row>
  </sheetData>
  <mergeCells count="15">
    <mergeCell ref="B4:B6"/>
    <mergeCell ref="A4:A6"/>
    <mergeCell ref="A1:K1"/>
    <mergeCell ref="A2:K2"/>
    <mergeCell ref="A3:K3"/>
    <mergeCell ref="J5:J6"/>
    <mergeCell ref="E4:H4"/>
    <mergeCell ref="K4:K6"/>
    <mergeCell ref="I4:J4"/>
    <mergeCell ref="C4:D4"/>
    <mergeCell ref="I5:I6"/>
    <mergeCell ref="G5:H5"/>
    <mergeCell ref="D5:D6"/>
    <mergeCell ref="E5:F5"/>
    <mergeCell ref="C5:C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7:K29"/>
  <sheetViews>
    <sheetView workbookViewId="0"/>
  </sheetViews>
  <sheetFormatPr defaultRowHeight="15" x14ac:dyDescent="0.25"/>
  <cols>
    <col min="1" max="1" width="1" style="435" bestFit="1" customWidth="1"/>
    <col min="2" max="11" width="1" bestFit="1" customWidth="1"/>
  </cols>
  <sheetData>
    <row r="7" spans="1:11" x14ac:dyDescent="0.25">
      <c r="A7" t="str">
        <f>CONCATENATE(665687,",",ROW(BCTHBDVCSH_06615!A7),"|",COLUMN(BCTHBDVCSH_06615!A7),",0",",0")</f>
        <v>665687,7|1,0,0</v>
      </c>
      <c r="B7" t="str">
        <f>CONCATENATE(665708,",",ROW(BCTHBDVCSH_06615!B7),"|",COLUMN(BCTHBDVCSH_06615!B7),",0",",0")</f>
        <v>665708,7|2,0,0</v>
      </c>
      <c r="C7" t="str">
        <f>CONCATENATE(665747,",",ROW(BCTHBDVCSH_06615!C7),"|",COLUMN(BCTHBDVCSH_06615!C7),",0",",0")</f>
        <v>665747,7|3,0,0</v>
      </c>
      <c r="D7" t="str">
        <f>CONCATENATE(665752,",",ROW(BCTHBDVCSH_06615!D7),"|",COLUMN(BCTHBDVCSH_06615!D7),",0",",0")</f>
        <v>665752,7|4,0,0</v>
      </c>
      <c r="E7" t="str">
        <f>CONCATENATE(665785,",",ROW(BCTHBDVCSH_06615!E7),"|",COLUMN(BCTHBDVCSH_06615!E7),",0",",0")</f>
        <v>665785,7|5,0,0</v>
      </c>
      <c r="F7" t="str">
        <f>CONCATENATE(665865,",",ROW(BCTHBDVCSH_06615!F7),"|",COLUMN(BCTHBDVCSH_06615!F7),",0",",0")</f>
        <v>665865,7|6,0,0</v>
      </c>
      <c r="G7" t="str">
        <f>CONCATENATE(665842,",",ROW(BCTHBDVCSH_06615!G7),"|",COLUMN(BCTHBDVCSH_06615!G7),",0",",0")</f>
        <v>665842,7|7,0,0</v>
      </c>
      <c r="H7" t="str">
        <f>CONCATENATE(665701,",",ROW(BCTHBDVCSH_06615!H7),"|",COLUMN(BCTHBDVCSH_06615!H7),",0",",0")</f>
        <v>665701,7|8,0,0</v>
      </c>
      <c r="I7" t="str">
        <f>CONCATENATE(665813,",",ROW(BCTHBDVCSH_06615!I7),"|",COLUMN(BCTHBDVCSH_06615!I7),",0",",0")</f>
        <v>665813,7|9,0,0</v>
      </c>
      <c r="J7" t="str">
        <f>CONCATENATE(665651,",",ROW(BCTHBDVCSH_06615!J7),"|",COLUMN(BCTHBDVCSH_06615!J7),",0",",0")</f>
        <v>665651,7|10,0,0</v>
      </c>
      <c r="K7" t="str">
        <f>CONCATENATE(665738,",",ROW(BCTHBDVCSH_06615!K7),"|",COLUMN(BCTHBDVCSH_06615!K7),",0",",0")</f>
        <v>665738,7|11,0,0</v>
      </c>
    </row>
    <row r="8" spans="1:11" x14ac:dyDescent="0.25">
      <c r="A8" t="str">
        <f>CONCATENATE(665682,",",ROW(BCTHBDVCSH_06615!A8),"|",COLUMN(BCTHBDVCSH_06615!A8),",0",",0")</f>
        <v>665682,8|1,0,0</v>
      </c>
      <c r="B8" t="str">
        <f>CONCATENATE(665709,",",ROW(BCTHBDVCSH_06615!B8),"|",COLUMN(BCTHBDVCSH_06615!B8),",0",",0")</f>
        <v>665709,8|2,0,0</v>
      </c>
      <c r="C8" t="str">
        <f>CONCATENATE(665748,",",ROW(BCTHBDVCSH_06615!C8),"|",COLUMN(BCTHBDVCSH_06615!C8),",0",",0")</f>
        <v>665748,8|3,0,0</v>
      </c>
      <c r="D8" t="str">
        <f>CONCATENATE(665753,",",ROW(BCTHBDVCSH_06615!D8),"|",COLUMN(BCTHBDVCSH_06615!D8),",0",",0")</f>
        <v>665753,8|4,0,0</v>
      </c>
      <c r="E8" t="str">
        <f>CONCATENATE(665786,",",ROW(BCTHBDVCSH_06615!E8),"|",COLUMN(BCTHBDVCSH_06615!E8),",0",",0")</f>
        <v>665786,8|5,0,0</v>
      </c>
      <c r="F8" t="str">
        <f>CONCATENATE(665613,",",ROW(BCTHBDVCSH_06615!F8),"|",COLUMN(BCTHBDVCSH_06615!F8),",0",",0")</f>
        <v>665613,8|6,0,0</v>
      </c>
      <c r="G8" t="str">
        <f>CONCATENATE(665843,",",ROW(BCTHBDVCSH_06615!G8),"|",COLUMN(BCTHBDVCSH_06615!G8),",0",",0")</f>
        <v>665843,8|7,0,0</v>
      </c>
      <c r="H8" t="str">
        <f>CONCATENATE(665702,",",ROW(BCTHBDVCSH_06615!H8),"|",COLUMN(BCTHBDVCSH_06615!H8),",0",",0")</f>
        <v>665702,8|8,0,0</v>
      </c>
      <c r="I8" t="str">
        <f>CONCATENATE(665814,",",ROW(BCTHBDVCSH_06615!I8),"|",COLUMN(BCTHBDVCSH_06615!I8),",0",",0")</f>
        <v>665814,8|9,0,0</v>
      </c>
      <c r="J8" t="str">
        <f>CONCATENATE(665652,",",ROW(BCTHBDVCSH_06615!J8),"|",COLUMN(BCTHBDVCSH_06615!J8),",0",",0")</f>
        <v>665652,8|10,0,0</v>
      </c>
      <c r="K8" t="str">
        <f>CONCATENATE(665730,",",ROW(BCTHBDVCSH_06615!K8),"|",COLUMN(BCTHBDVCSH_06615!K8),",0",",0")</f>
        <v>665730,8|11,0,0</v>
      </c>
    </row>
    <row r="9" spans="1:11" x14ac:dyDescent="0.25">
      <c r="A9" t="str">
        <f>CONCATENATE(665801,",",ROW(BCTHBDVCSH_06615!A9),"|",COLUMN(BCTHBDVCSH_06615!A9),",0",",0")</f>
        <v>665801,9|1,0,0</v>
      </c>
      <c r="B9" t="str">
        <f>CONCATENATE(665713,",",ROW(BCTHBDVCSH_06615!B9),"|",COLUMN(BCTHBDVCSH_06615!B9),",0",",0")</f>
        <v>665713,9|2,0,0</v>
      </c>
      <c r="C9" t="str">
        <f>CONCATENATE(665618,",",ROW(BCTHBDVCSH_06615!C9),"|",COLUMN(BCTHBDVCSH_06615!C9),",0",",0")</f>
        <v>665618,9|3,0,0</v>
      </c>
      <c r="D9" t="str">
        <f>CONCATENATE(665758,",",ROW(BCTHBDVCSH_06615!D9),"|",COLUMN(BCTHBDVCSH_06615!D9),",0",",0")</f>
        <v>665758,9|4,0,0</v>
      </c>
      <c r="E9" t="str">
        <f>CONCATENATE(665794,",",ROW(BCTHBDVCSH_06615!E9),"|",COLUMN(BCTHBDVCSH_06615!E9),",0",",0")</f>
        <v>665794,9|5,0,0</v>
      </c>
      <c r="F9" t="str">
        <f>CONCATENATE(665766,",",ROW(BCTHBDVCSH_06615!F9),"|",COLUMN(BCTHBDVCSH_06615!F9),",0",",0")</f>
        <v>665766,9|6,0,0</v>
      </c>
      <c r="G9" t="str">
        <f>CONCATENATE(665849,",",ROW(BCTHBDVCSH_06615!G9),"|",COLUMN(BCTHBDVCSH_06615!G9),",0",",0")</f>
        <v>665849,9|7,0,0</v>
      </c>
      <c r="H9" t="str">
        <f>CONCATENATE(665706,",",ROW(BCTHBDVCSH_06615!H9),"|",COLUMN(BCTHBDVCSH_06615!H9),",0",",0")</f>
        <v>665706,9|8,0,0</v>
      </c>
      <c r="I9" t="str">
        <f>CONCATENATE(665818,",",ROW(BCTHBDVCSH_06615!I9),"|",COLUMN(BCTHBDVCSH_06615!I9),",0",",0")</f>
        <v>665818,9|9,0,0</v>
      </c>
      <c r="J9" t="str">
        <f>CONCATENATE(665656,",",ROW(BCTHBDVCSH_06615!J9),"|",COLUMN(BCTHBDVCSH_06615!J9),",0",",0")</f>
        <v>665656,9|10,0,0</v>
      </c>
      <c r="K9" t="str">
        <f>CONCATENATE(665676,",",ROW(BCTHBDVCSH_06615!K9),"|",COLUMN(BCTHBDVCSH_06615!K9),",0",",0")</f>
        <v>665676,9|11,0,0</v>
      </c>
    </row>
    <row r="10" spans="1:11" x14ac:dyDescent="0.25">
      <c r="A10" t="str">
        <f>CONCATENATE(665802,",",ROW(BCTHBDVCSH_06615!A10),"|",COLUMN(BCTHBDVCSH_06615!A10),",0",",0")</f>
        <v>665802,10|1,0,0</v>
      </c>
      <c r="B10" t="str">
        <f>CONCATENATE(665714,",",ROW(BCTHBDVCSH_06615!B10),"|",COLUMN(BCTHBDVCSH_06615!B10),",0",",0")</f>
        <v>665714,10|2,0,0</v>
      </c>
      <c r="C10" t="str">
        <f>CONCATENATE(665619,",",ROW(BCTHBDVCSH_06615!C10),"|",COLUMN(BCTHBDVCSH_06615!C10),",0",",0")</f>
        <v>665619,10|3,0,0</v>
      </c>
      <c r="D10" t="str">
        <f>CONCATENATE(665759,",",ROW(BCTHBDVCSH_06615!D10),"|",COLUMN(BCTHBDVCSH_06615!D10),",0",",0")</f>
        <v>665759,10|4,0,0</v>
      </c>
      <c r="E10" t="str">
        <f>CONCATENATE(665640,",",ROW(BCTHBDVCSH_06615!E10),"|",COLUMN(BCTHBDVCSH_06615!E10),",0",",0")</f>
        <v>665640,10|5,0,0</v>
      </c>
      <c r="F10" t="str">
        <f>CONCATENATE(665767,",",ROW(BCTHBDVCSH_06615!F10),"|",COLUMN(BCTHBDVCSH_06615!F10),",0",",0")</f>
        <v>665767,10|6,0,0</v>
      </c>
      <c r="G10" t="str">
        <f>CONCATENATE(665850,",",ROW(BCTHBDVCSH_06615!G10),"|",COLUMN(BCTHBDVCSH_06615!G10),",0",",0")</f>
        <v>665850,10|7,0,0</v>
      </c>
      <c r="H10" t="str">
        <f>CONCATENATE(665707,",",ROW(BCTHBDVCSH_06615!H10),"|",COLUMN(BCTHBDVCSH_06615!H10),",0",",0")</f>
        <v>665707,10|8,0,0</v>
      </c>
      <c r="I10" t="str">
        <f>CONCATENATE(665819,",",ROW(BCTHBDVCSH_06615!I10),"|",COLUMN(BCTHBDVCSH_06615!I10),",0",",0")</f>
        <v>665819,10|9,0,0</v>
      </c>
      <c r="J10" t="str">
        <f>CONCATENATE(665657,",",ROW(BCTHBDVCSH_06615!J10),"|",COLUMN(BCTHBDVCSH_06615!J10),",0",",0")</f>
        <v>665657,10|10,0,0</v>
      </c>
      <c r="K10" t="str">
        <f>CONCATENATE(665739,",",ROW(BCTHBDVCSH_06615!K10),"|",COLUMN(BCTHBDVCSH_06615!K10),",0",",0")</f>
        <v>665739,10|11,0,0</v>
      </c>
    </row>
    <row r="11" spans="1:11" x14ac:dyDescent="0.25">
      <c r="A11" t="str">
        <f>CONCATENATE(665684,",",ROW(BCTHBDVCSH_06615!A11),"|",COLUMN(BCTHBDVCSH_06615!A11),",0",",0")</f>
        <v>665684,11|1,0,0</v>
      </c>
      <c r="B11" t="str">
        <f>CONCATENATE(665715,",",ROW(BCTHBDVCSH_06615!B11),"|",COLUMN(BCTHBDVCSH_06615!B11),",0",",0")</f>
        <v>665715,11|2,0,0</v>
      </c>
      <c r="C11" t="str">
        <f>CONCATENATE(665620,",",ROW(BCTHBDVCSH_06615!C11),"|",COLUMN(BCTHBDVCSH_06615!C11),",0",",0")</f>
        <v>665620,11|3,0,0</v>
      </c>
      <c r="D11" t="str">
        <f>CONCATENATE(665760,",",ROW(BCTHBDVCSH_06615!D11),"|",COLUMN(BCTHBDVCSH_06615!D11),",0",",0")</f>
        <v>665760,11|4,0,0</v>
      </c>
      <c r="E11" t="str">
        <f>CONCATENATE(665641,",",ROW(BCTHBDVCSH_06615!E11),"|",COLUMN(BCTHBDVCSH_06615!E11),",0",",0")</f>
        <v>665641,11|5,0,0</v>
      </c>
      <c r="F11" t="str">
        <f>CONCATENATE(665768,",",ROW(BCTHBDVCSH_06615!F11),"|",COLUMN(BCTHBDVCSH_06615!F11),",0",",0")</f>
        <v>665768,11|6,0,0</v>
      </c>
      <c r="G11" t="str">
        <f>CONCATENATE(665851,",",ROW(BCTHBDVCSH_06615!G11),"|",COLUMN(BCTHBDVCSH_06615!G11),",0",",0")</f>
        <v>665851,11|7,0,0</v>
      </c>
      <c r="H11" t="str">
        <f>CONCATENATE(665659,",",ROW(BCTHBDVCSH_06615!H11),"|",COLUMN(BCTHBDVCSH_06615!H11),",0",",0")</f>
        <v>665659,11|8,0,0</v>
      </c>
      <c r="I11" t="str">
        <f>CONCATENATE(665820,",",ROW(BCTHBDVCSH_06615!I11),"|",COLUMN(BCTHBDVCSH_06615!I11),",0",",0")</f>
        <v>665820,11|9,0,0</v>
      </c>
      <c r="J11" t="str">
        <f>CONCATENATE(665658,",",ROW(BCTHBDVCSH_06615!J11),"|",COLUMN(BCTHBDVCSH_06615!J11),",0",",0")</f>
        <v>665658,11|10,0,0</v>
      </c>
      <c r="K11" t="str">
        <f>CONCATENATE(665677,",",ROW(BCTHBDVCSH_06615!K11),"|",COLUMN(BCTHBDVCSH_06615!K11),",0",",0")</f>
        <v>665677,11|11,0,0</v>
      </c>
    </row>
    <row r="12" spans="1:11" x14ac:dyDescent="0.25">
      <c r="A12" t="str">
        <f>CONCATENATE(665689,",",ROW(BCTHBDVCSH_06615!A12),"|",COLUMN(BCTHBDVCSH_06615!A12),",0",",0")</f>
        <v>665689,12|1,0,0</v>
      </c>
      <c r="B12" t="str">
        <f>CONCATENATE(665624,",",ROW(BCTHBDVCSH_06615!B12),"|",COLUMN(BCTHBDVCSH_06615!B12),",0",",0")</f>
        <v>665624,12|2,0,0</v>
      </c>
      <c r="C12" t="str">
        <f>CONCATENATE(665621,",",ROW(BCTHBDVCSH_06615!C12),"|",COLUMN(BCTHBDVCSH_06615!C12),",0",",0")</f>
        <v>665621,12|3,0,0</v>
      </c>
      <c r="D12" t="str">
        <f>CONCATENATE(665761,",",ROW(BCTHBDVCSH_06615!D12),"|",COLUMN(BCTHBDVCSH_06615!D12),",0",",0")</f>
        <v>665761,12|4,0,0</v>
      </c>
      <c r="E12" t="str">
        <f>CONCATENATE(665642,",",ROW(BCTHBDVCSH_06615!E12),"|",COLUMN(BCTHBDVCSH_06615!E12),",0",",0")</f>
        <v>665642,12|5,0,0</v>
      </c>
      <c r="F12" t="str">
        <f>CONCATENATE(665769,",",ROW(BCTHBDVCSH_06615!F12),"|",COLUMN(BCTHBDVCSH_06615!F12),",0",",0")</f>
        <v>665769,12|6,0,0</v>
      </c>
      <c r="G12" t="str">
        <f>CONCATENATE(665852,",",ROW(BCTHBDVCSH_06615!G12),"|",COLUMN(BCTHBDVCSH_06615!G12),",0",",0")</f>
        <v>665852,12|7,0,0</v>
      </c>
      <c r="H12" t="str">
        <f>CONCATENATE(665660,",",ROW(BCTHBDVCSH_06615!H12),"|",COLUMN(BCTHBDVCSH_06615!H12),",0",",0")</f>
        <v>665660,12|8,0,0</v>
      </c>
      <c r="I12" t="str">
        <f>CONCATENATE(665821,",",ROW(BCTHBDVCSH_06615!I12),"|",COLUMN(BCTHBDVCSH_06615!I12),",0",",0")</f>
        <v>665821,12|9,0,0</v>
      </c>
      <c r="J12" t="str">
        <f>CONCATENATE(665795,",",ROW(BCTHBDVCSH_06615!J12),"|",COLUMN(BCTHBDVCSH_06615!J12),",0",",0")</f>
        <v>665795,12|10,0,0</v>
      </c>
      <c r="K12" t="str">
        <f>CONCATENATE(665740,",",ROW(BCTHBDVCSH_06615!K12),"|",COLUMN(BCTHBDVCSH_06615!K12),",0",",0")</f>
        <v>665740,12|11,0,0</v>
      </c>
    </row>
    <row r="13" spans="1:11" x14ac:dyDescent="0.25">
      <c r="A13" t="str">
        <f>CONCATENATE(665859,",",ROW(BCTHBDVCSH_06615!A13),"|",COLUMN(BCTHBDVCSH_06615!A13),",0",",0")</f>
        <v>665859,13|1,0,0</v>
      </c>
      <c r="B13" t="str">
        <f>CONCATENATE(665710,",",ROW(BCTHBDVCSH_06615!B13),"|",COLUMN(BCTHBDVCSH_06615!B13),",0",",0")</f>
        <v>665710,13|2,0,0</v>
      </c>
      <c r="C13" t="str">
        <f>CONCATENATE(665749,",",ROW(BCTHBDVCSH_06615!C13),"|",COLUMN(BCTHBDVCSH_06615!C13),",0",",0")</f>
        <v>665749,13|3,0,0</v>
      </c>
      <c r="D13" t="str">
        <f>CONCATENATE(665755,",",ROW(BCTHBDVCSH_06615!D13),"|",COLUMN(BCTHBDVCSH_06615!D13),",0",",0")</f>
        <v>665755,13|4,0,0</v>
      </c>
      <c r="E13" t="str">
        <f>CONCATENATE(665787,",",ROW(BCTHBDVCSH_06615!E13),"|",COLUMN(BCTHBDVCSH_06615!E13),",0",",0")</f>
        <v>665787,13|5,0,0</v>
      </c>
      <c r="F13" t="str">
        <f>CONCATENATE(665634,",",ROW(BCTHBDVCSH_06615!F13),"|",COLUMN(BCTHBDVCSH_06615!F13),",0",",0")</f>
        <v>665634,13|6,0,0</v>
      </c>
      <c r="G13" t="str">
        <f>CONCATENATE(665844,",",ROW(BCTHBDVCSH_06615!G13),"|",COLUMN(BCTHBDVCSH_06615!G13),",0",",0")</f>
        <v>665844,13|7,0,0</v>
      </c>
      <c r="H13" t="str">
        <f>CONCATENATE(665703,",",ROW(BCTHBDVCSH_06615!H13),"|",COLUMN(BCTHBDVCSH_06615!H13),",0",",0")</f>
        <v>665703,13|8,0,0</v>
      </c>
      <c r="I13" t="str">
        <f>CONCATENATE(665815,",",ROW(BCTHBDVCSH_06615!I13),"|",COLUMN(BCTHBDVCSH_06615!I13),",0",",0")</f>
        <v>665815,13|9,0,0</v>
      </c>
      <c r="J13" t="str">
        <f>CONCATENATE(665653,",",ROW(BCTHBDVCSH_06615!J13),"|",COLUMN(BCTHBDVCSH_06615!J13),",0",",0")</f>
        <v>665653,13|10,0,0</v>
      </c>
      <c r="K13" t="str">
        <f>CONCATENATE(665731,",",ROW(BCTHBDVCSH_06615!K13),"|",COLUMN(BCTHBDVCSH_06615!K13),",0",",0")</f>
        <v>665731,13|11,0,0</v>
      </c>
    </row>
    <row r="14" spans="1:11" x14ac:dyDescent="0.25">
      <c r="A14" t="str">
        <f>CONCATENATE(665683,",",ROW(BCTHBDVCSH_06615!A14),"|",COLUMN(BCTHBDVCSH_06615!A14),",0",",0")</f>
        <v>665683,14|1,0,0</v>
      </c>
      <c r="B14" t="str">
        <f>CONCATENATE(665711,",",ROW(BCTHBDVCSH_06615!B14),"|",COLUMN(BCTHBDVCSH_06615!B14),",0",",0")</f>
        <v>665711,14|2,0,0</v>
      </c>
      <c r="C14" t="str">
        <f>CONCATENATE(665750,",",ROW(BCTHBDVCSH_06615!C14),"|",COLUMN(BCTHBDVCSH_06615!C14),",0",",0")</f>
        <v>665750,14|3,0,0</v>
      </c>
      <c r="D14" t="str">
        <f>CONCATENATE(665756,",",ROW(BCTHBDVCSH_06615!D14),"|",COLUMN(BCTHBDVCSH_06615!D14),",0",",0")</f>
        <v>665756,14|4,0,0</v>
      </c>
      <c r="E14" t="str">
        <f>CONCATENATE(665788,",",ROW(BCTHBDVCSH_06615!E14),"|",COLUMN(BCTHBDVCSH_06615!E14),",0",",0")</f>
        <v>665788,14|5,0,0</v>
      </c>
      <c r="F14" t="str">
        <f>CONCATENATE(665635,",",ROW(BCTHBDVCSH_06615!F14),"|",COLUMN(BCTHBDVCSH_06615!F14),",0",",0")</f>
        <v>665635,14|6,0,0</v>
      </c>
      <c r="G14" t="str">
        <f>CONCATENATE(665845,",",ROW(BCTHBDVCSH_06615!G14),"|",COLUMN(BCTHBDVCSH_06615!G14),",0",",0")</f>
        <v>665845,14|7,0,0</v>
      </c>
      <c r="H14" t="str">
        <f>CONCATENATE(665704,",",ROW(BCTHBDVCSH_06615!H14),"|",COLUMN(BCTHBDVCSH_06615!H14),",0",",0")</f>
        <v>665704,14|8,0,0</v>
      </c>
      <c r="I14" t="str">
        <f>CONCATENATE(665816,",",ROW(BCTHBDVCSH_06615!I14),"|",COLUMN(BCTHBDVCSH_06615!I14),",0",",0")</f>
        <v>665816,14|9,0,0</v>
      </c>
      <c r="J14" t="str">
        <f>CONCATENATE(665654,",",ROW(BCTHBDVCSH_06615!J14),"|",COLUMN(BCTHBDVCSH_06615!J14),",0",",0")</f>
        <v>665654,14|10,0,0</v>
      </c>
      <c r="K14" t="str">
        <f>CONCATENATE(665732,",",ROW(BCTHBDVCSH_06615!K14),"|",COLUMN(BCTHBDVCSH_06615!K14),",0",",0")</f>
        <v>665732,14|11,0,0</v>
      </c>
    </row>
    <row r="15" spans="1:11" x14ac:dyDescent="0.25">
      <c r="A15" t="str">
        <f>CONCATENATE(665800,",",ROW(BCTHBDVCSH_06615!A15),"|",COLUMN(BCTHBDVCSH_06615!A15),",0",",0")</f>
        <v>665800,15|1,0,0</v>
      </c>
      <c r="B15" t="str">
        <f>CONCATENATE(665712,",",ROW(BCTHBDVCSH_06615!B15),"|",COLUMN(BCTHBDVCSH_06615!B15),",0",",0")</f>
        <v>665712,15|2,0,0</v>
      </c>
      <c r="C15" t="str">
        <f>CONCATENATE(665751,",",ROW(BCTHBDVCSH_06615!C15),"|",COLUMN(BCTHBDVCSH_06615!C15),",0",",0")</f>
        <v>665751,15|3,0,0</v>
      </c>
      <c r="D15" t="str">
        <f>CONCATENATE(665757,",",ROW(BCTHBDVCSH_06615!D15),"|",COLUMN(BCTHBDVCSH_06615!D15),",0",",0")</f>
        <v>665757,15|4,0,0</v>
      </c>
      <c r="E15" t="str">
        <f>CONCATENATE(665789,",",ROW(BCTHBDVCSH_06615!E15),"|",COLUMN(BCTHBDVCSH_06615!E15),",0",",0")</f>
        <v>665789,15|5,0,0</v>
      </c>
      <c r="F15" t="str">
        <f>CONCATENATE(665644,",",ROW(BCTHBDVCSH_06615!F15),"|",COLUMN(BCTHBDVCSH_06615!F15),",0",",0")</f>
        <v>665644,15|6,0,0</v>
      </c>
      <c r="G15" t="str">
        <f>CONCATENATE(665848,",",ROW(BCTHBDVCSH_06615!G15),"|",COLUMN(BCTHBDVCSH_06615!G15),",0",",0")</f>
        <v>665848,15|7,0,0</v>
      </c>
      <c r="H15" t="str">
        <f>CONCATENATE(665705,",",ROW(BCTHBDVCSH_06615!H15),"|",COLUMN(BCTHBDVCSH_06615!H15),",0",",0")</f>
        <v>665705,15|8,0,0</v>
      </c>
      <c r="I15" t="str">
        <f>CONCATENATE(665817,",",ROW(BCTHBDVCSH_06615!I15),"|",COLUMN(BCTHBDVCSH_06615!I15),",0",",0")</f>
        <v>665817,15|9,0,0</v>
      </c>
      <c r="J15" t="str">
        <f>CONCATENATE(665655,",",ROW(BCTHBDVCSH_06615!J15),"|",COLUMN(BCTHBDVCSH_06615!J15),",0",",0")</f>
        <v>665655,15|10,0,0</v>
      </c>
      <c r="K15" t="str">
        <f>CONCATENATE(665675,",",ROW(BCTHBDVCSH_06615!K15),"|",COLUMN(BCTHBDVCSH_06615!K15),",0",",0")</f>
        <v>665675,15|11,0,0</v>
      </c>
    </row>
    <row r="16" spans="1:11" x14ac:dyDescent="0.25">
      <c r="A16" t="str">
        <f>CONCATENATE(665855,",",ROW(BCTHBDVCSH_06615!A16),"|",COLUMN(BCTHBDVCSH_06615!A16),",0",",0")</f>
        <v>665855,16|1,0,0</v>
      </c>
      <c r="B16" t="str">
        <f>CONCATENATE(665625,",",ROW(BCTHBDVCSH_06615!B16),"|",COLUMN(BCTHBDVCSH_06615!B16),",0",",0")</f>
        <v>665625,16|2,0,0</v>
      </c>
      <c r="C16" t="str">
        <f>CONCATENATE(665622,",",ROW(BCTHBDVCSH_06615!C16),"|",COLUMN(BCTHBDVCSH_06615!C16),",0",",0")</f>
        <v>665622,16|3,0,0</v>
      </c>
      <c r="D16" t="str">
        <f>CONCATENATE(665762,",",ROW(BCTHBDVCSH_06615!D16),"|",COLUMN(BCTHBDVCSH_06615!D16),",0",",0")</f>
        <v>665762,16|4,0,0</v>
      </c>
      <c r="E16" t="str">
        <f>CONCATENATE(665716,",",ROW(BCTHBDVCSH_06615!E16),"|",COLUMN(BCTHBDVCSH_06615!E16),",0",",0")</f>
        <v>665716,16|5,0,0</v>
      </c>
      <c r="F16" t="str">
        <f>CONCATENATE(665770,",",ROW(BCTHBDVCSH_06615!F16),"|",COLUMN(BCTHBDVCSH_06615!F16),",0",",0")</f>
        <v>665770,16|6,0,0</v>
      </c>
      <c r="G16" t="str">
        <f>CONCATENATE(665853,",",ROW(BCTHBDVCSH_06615!G16),"|",COLUMN(BCTHBDVCSH_06615!G16),",0",",0")</f>
        <v>665853,16|7,0,0</v>
      </c>
      <c r="H16" t="str">
        <f>CONCATENATE(665661,",",ROW(BCTHBDVCSH_06615!H16),"|",COLUMN(BCTHBDVCSH_06615!H16),",0",",0")</f>
        <v>665661,16|8,0,0</v>
      </c>
      <c r="I16" t="str">
        <f>CONCATENATE(665822,",",ROW(BCTHBDVCSH_06615!I16),"|",COLUMN(BCTHBDVCSH_06615!I16),",0",",0")</f>
        <v>665822,16|9,0,0</v>
      </c>
      <c r="J16" t="str">
        <f>CONCATENATE(665861,",",ROW(BCTHBDVCSH_06615!J16),"|",COLUMN(BCTHBDVCSH_06615!J16),",0",",0")</f>
        <v>665861,16|10,0,0</v>
      </c>
      <c r="K16" t="str">
        <f>CONCATENATE(665741,",",ROW(BCTHBDVCSH_06615!K16),"|",COLUMN(BCTHBDVCSH_06615!K16),",0",",0")</f>
        <v>665741,16|11,0,0</v>
      </c>
    </row>
    <row r="17" spans="1:11" x14ac:dyDescent="0.25">
      <c r="A17" t="str">
        <f>CONCATENATE(665803,",",ROW(BCTHBDVCSH_06615!A17),"|",COLUMN(BCTHBDVCSH_06615!A17),",0",",0")</f>
        <v>665803,17|1,0,0</v>
      </c>
      <c r="B17" t="str">
        <f>CONCATENATE(665626,",",ROW(BCTHBDVCSH_06615!B17),"|",COLUMN(BCTHBDVCSH_06615!B17),",0",",0")</f>
        <v>665626,17|2,0,0</v>
      </c>
      <c r="C17" t="str">
        <f>CONCATENATE(665623,",",ROW(BCTHBDVCSH_06615!C17),"|",COLUMN(BCTHBDVCSH_06615!C17),",0",",0")</f>
        <v>665623,17|3,0,0</v>
      </c>
      <c r="D17" t="str">
        <f>CONCATENATE(665763,",",ROW(BCTHBDVCSH_06615!D17),"|",COLUMN(BCTHBDVCSH_06615!D17),",0",",0")</f>
        <v>665763,17|4,0,0</v>
      </c>
      <c r="E17" t="str">
        <f>CONCATENATE(665717,",",ROW(BCTHBDVCSH_06615!E17),"|",COLUMN(BCTHBDVCSH_06615!E17),",0",",0")</f>
        <v>665717,17|5,0,0</v>
      </c>
      <c r="F17" t="str">
        <f>CONCATENATE(665771,",",ROW(BCTHBDVCSH_06615!F17),"|",COLUMN(BCTHBDVCSH_06615!F17),",0",",0")</f>
        <v>665771,17|6,0,0</v>
      </c>
      <c r="G17" t="str">
        <f>CONCATENATE(665854,",",ROW(BCTHBDVCSH_06615!G17),"|",COLUMN(BCTHBDVCSH_06615!G17),",0",",0")</f>
        <v>665854,17|7,0,0</v>
      </c>
      <c r="H17" t="str">
        <f>CONCATENATE(665662,",",ROW(BCTHBDVCSH_06615!H17),"|",COLUMN(BCTHBDVCSH_06615!H17),",0",",0")</f>
        <v>665662,17|8,0,0</v>
      </c>
      <c r="I17" t="str">
        <f>CONCATENATE(665823,",",ROW(BCTHBDVCSH_06615!I17),"|",COLUMN(BCTHBDVCSH_06615!I17),",0",",0")</f>
        <v>665823,17|9,0,0</v>
      </c>
      <c r="J17" t="str">
        <f>CONCATENATE(665862,",",ROW(BCTHBDVCSH_06615!J17),"|",COLUMN(BCTHBDVCSH_06615!J17),",0",",0")</f>
        <v>665862,17|10,0,0</v>
      </c>
      <c r="K17" t="str">
        <f>CONCATENATE(665614,",",ROW(BCTHBDVCSH_06615!K17),"|",COLUMN(BCTHBDVCSH_06615!K17),",0",",0")</f>
        <v>665614,17|11,0,0</v>
      </c>
    </row>
    <row r="18" spans="1:11" x14ac:dyDescent="0.25">
      <c r="A18" t="str">
        <f>CONCATENATE(665685,",",ROW(BCTHBDVCSH_06615!A18),"|",COLUMN(BCTHBDVCSH_06615!A18),",0",",0")</f>
        <v>665685,18|1,0,0</v>
      </c>
      <c r="B18" t="str">
        <f>CONCATENATE(665627,",",ROW(BCTHBDVCSH_06615!B18),"|",COLUMN(BCTHBDVCSH_06615!B18),",0",",0")</f>
        <v>665627,18|2,0,0</v>
      </c>
      <c r="C18" t="str">
        <f>CONCATENATE(665643,",",ROW(BCTHBDVCSH_06615!C18),"|",COLUMN(BCTHBDVCSH_06615!C18),",0",",0")</f>
        <v>665643,18|3,0,0</v>
      </c>
      <c r="D18" t="str">
        <f>CONCATENATE(665764,",",ROW(BCTHBDVCSH_06615!D18),"|",COLUMN(BCTHBDVCSH_06615!D18),",0",",0")</f>
        <v>665764,18|4,0,0</v>
      </c>
      <c r="E18" t="str">
        <f>CONCATENATE(665718,",",ROW(BCTHBDVCSH_06615!E18),"|",COLUMN(BCTHBDVCSH_06615!E18),",0",",0")</f>
        <v>665718,18|5,0,0</v>
      </c>
      <c r="F18" t="str">
        <f>CONCATENATE(665772,",",ROW(BCTHBDVCSH_06615!F18),"|",COLUMN(BCTHBDVCSH_06615!F18),",0",",0")</f>
        <v>665772,18|6,0,0</v>
      </c>
      <c r="G18" t="str">
        <f>CONCATENATE(665860,",",ROW(BCTHBDVCSH_06615!G18),"|",COLUMN(BCTHBDVCSH_06615!G18),",0",",0")</f>
        <v>665860,18|7,0,0</v>
      </c>
      <c r="H18" t="str">
        <f>CONCATENATE(665663,",",ROW(BCTHBDVCSH_06615!H18),"|",COLUMN(BCTHBDVCSH_06615!H18),",0",",0")</f>
        <v>665663,18|8,0,0</v>
      </c>
      <c r="I18" t="str">
        <f>CONCATENATE(665824,",",ROW(BCTHBDVCSH_06615!I18),"|",COLUMN(BCTHBDVCSH_06615!I18),",0",",0")</f>
        <v>665824,18|9,0,0</v>
      </c>
      <c r="J18" t="str">
        <f>CONCATENATE(665863,",",ROW(BCTHBDVCSH_06615!J18),"|",COLUMN(BCTHBDVCSH_06615!J18),",0",",0")</f>
        <v>665863,18|10,0,0</v>
      </c>
      <c r="K18" t="str">
        <f>CONCATENATE(665615,",",ROW(BCTHBDVCSH_06615!K18),"|",COLUMN(BCTHBDVCSH_06615!K18),",0",",0")</f>
        <v>665615,18|11,0,0</v>
      </c>
    </row>
    <row r="19" spans="1:11" x14ac:dyDescent="0.25">
      <c r="A19" t="str">
        <f>CONCATENATE(665858,",",ROW(BCTHBDVCSH_06615!A19),"|",COLUMN(BCTHBDVCSH_06615!A19),",0",",0")</f>
        <v>665858,19|1,0,0</v>
      </c>
      <c r="B19" t="str">
        <f>CONCATENATE(665628,",",ROW(BCTHBDVCSH_06615!B19),"|",COLUMN(BCTHBDVCSH_06615!B19),",0",",0")</f>
        <v>665628,19|2,0,0</v>
      </c>
      <c r="C19" t="str">
        <f>CONCATENATE(665831,",",ROW(BCTHBDVCSH_06615!C19),"|",COLUMN(BCTHBDVCSH_06615!C19),",0",",0")</f>
        <v>665831,19|3,0,0</v>
      </c>
      <c r="D19" t="str">
        <f>CONCATENATE(665765,",",ROW(BCTHBDVCSH_06615!D19),"|",COLUMN(BCTHBDVCSH_06615!D19),",0",",0")</f>
        <v>665765,19|4,0,0</v>
      </c>
      <c r="E19" t="str">
        <f>CONCATENATE(665719,",",ROW(BCTHBDVCSH_06615!E19),"|",COLUMN(BCTHBDVCSH_06615!E19),",0",",0")</f>
        <v>665719,19|5,0,0</v>
      </c>
      <c r="F19" t="str">
        <f>CONCATENATE(665773,",",ROW(BCTHBDVCSH_06615!F19),"|",COLUMN(BCTHBDVCSH_06615!F19),",0",",0")</f>
        <v>665773,19|6,0,0</v>
      </c>
      <c r="G19" t="str">
        <f>CONCATENATE(665690,",",ROW(BCTHBDVCSH_06615!G19),"|",COLUMN(BCTHBDVCSH_06615!G19),",0",",0")</f>
        <v>665690,19|7,0,0</v>
      </c>
      <c r="H19" t="str">
        <f>CONCATENATE(665664,",",ROW(BCTHBDVCSH_06615!H19),"|",COLUMN(BCTHBDVCSH_06615!H19),",0",",0")</f>
        <v>665664,19|8,0,0</v>
      </c>
      <c r="I19" t="str">
        <f>CONCATENATE(665825,",",ROW(BCTHBDVCSH_06615!I19),"|",COLUMN(BCTHBDVCSH_06615!I19),",0",",0")</f>
        <v>665825,19|9,0,0</v>
      </c>
      <c r="J19" t="str">
        <f>CONCATENATE(665754,",",ROW(BCTHBDVCSH_06615!J19),"|",COLUMN(BCTHBDVCSH_06615!J19),",0",",0")</f>
        <v>665754,19|10,0,0</v>
      </c>
      <c r="K19" t="str">
        <f>CONCATENATE(665678,",",ROW(BCTHBDVCSH_06615!K19),"|",COLUMN(BCTHBDVCSH_06615!K19),",0",",0")</f>
        <v>665678,19|11,0,0</v>
      </c>
    </row>
    <row r="20" spans="1:11" x14ac:dyDescent="0.25">
      <c r="A20" t="str">
        <f>CONCATENATE(665804,",",ROW(BCTHBDVCSH_06615!A20),"|",COLUMN(BCTHBDVCSH_06615!A20),",0",",0")</f>
        <v>665804,20|1,0,0</v>
      </c>
      <c r="B20" t="str">
        <f>CONCATENATE(665629,",",ROW(BCTHBDVCSH_06615!B20),"|",COLUMN(BCTHBDVCSH_06615!B20),",0",",0")</f>
        <v>665629,20|2,0,0</v>
      </c>
      <c r="C20" t="str">
        <f>CONCATENATE(665832,",",ROW(BCTHBDVCSH_06615!C20),"|",COLUMN(BCTHBDVCSH_06615!C20),",0",",0")</f>
        <v>665832,20|3,0,0</v>
      </c>
      <c r="D20" t="str">
        <f>CONCATENATE(665775,",",ROW(BCTHBDVCSH_06615!D20),"|",COLUMN(BCTHBDVCSH_06615!D20),",0",",0")</f>
        <v>665775,20|4,0,0</v>
      </c>
      <c r="E20" t="str">
        <f>CONCATENATE(665720,",",ROW(BCTHBDVCSH_06615!E20),"|",COLUMN(BCTHBDVCSH_06615!E20),",0",",0")</f>
        <v>665720,20|5,0,0</v>
      </c>
      <c r="F20" t="str">
        <f>CONCATENATE(665774,",",ROW(BCTHBDVCSH_06615!F20),"|",COLUMN(BCTHBDVCSH_06615!F20),",0",",0")</f>
        <v>665774,20|6,0,0</v>
      </c>
      <c r="G20" t="str">
        <f>CONCATENATE(665691,",",ROW(BCTHBDVCSH_06615!G20),"|",COLUMN(BCTHBDVCSH_06615!G20),",0",",0")</f>
        <v>665691,20|7,0,0</v>
      </c>
      <c r="H20" t="str">
        <f>CONCATENATE(665665,",",ROW(BCTHBDVCSH_06615!H20),"|",COLUMN(BCTHBDVCSH_06615!H20),",0",",0")</f>
        <v>665665,20|8,0,0</v>
      </c>
      <c r="I20" t="str">
        <f>CONCATENATE(665826,",",ROW(BCTHBDVCSH_06615!I20),"|",COLUMN(BCTHBDVCSH_06615!I20),",0",",0")</f>
        <v>665826,20|9,0,0</v>
      </c>
      <c r="J20" t="str">
        <f>CONCATENATE(665645,",",ROW(BCTHBDVCSH_06615!J20),"|",COLUMN(BCTHBDVCSH_06615!J20),",0",",0")</f>
        <v>665645,20|10,0,0</v>
      </c>
      <c r="K20" t="str">
        <f>CONCATENATE(665679,",",ROW(BCTHBDVCSH_06615!K20),"|",COLUMN(BCTHBDVCSH_06615!K20),",0",",0")</f>
        <v>665679,20|11,0,0</v>
      </c>
    </row>
    <row r="21" spans="1:11" x14ac:dyDescent="0.25">
      <c r="A21" t="str">
        <f>CONCATENATE(665796,",",ROW(BCTHBDVCSH_06615!A21),"|",COLUMN(BCTHBDVCSH_06615!A21),",0",",0")</f>
        <v>665796,21|1,0,0</v>
      </c>
      <c r="B21" t="str">
        <f>CONCATENATE(665630,",",ROW(BCTHBDVCSH_06615!B21),"|",COLUMN(BCTHBDVCSH_06615!B21),",0",",0")</f>
        <v>665630,21|2,0,0</v>
      </c>
      <c r="C21" t="str">
        <f>CONCATENATE(665833,",",ROW(BCTHBDVCSH_06615!C21),"|",COLUMN(BCTHBDVCSH_06615!C21),",0",",0")</f>
        <v>665833,21|3,0,0</v>
      </c>
      <c r="D21" t="str">
        <f>CONCATENATE(665776,",",ROW(BCTHBDVCSH_06615!D21),"|",COLUMN(BCTHBDVCSH_06615!D21),",0",",0")</f>
        <v>665776,21|4,0,0</v>
      </c>
      <c r="E21" t="str">
        <f>CONCATENATE(665721,",",ROW(BCTHBDVCSH_06615!E21),"|",COLUMN(BCTHBDVCSH_06615!E21),",0",",0")</f>
        <v>665721,21|5,0,0</v>
      </c>
      <c r="F21" t="str">
        <f>CONCATENATE(665790,",",ROW(BCTHBDVCSH_06615!F21),"|",COLUMN(BCTHBDVCSH_06615!F21),",0",",0")</f>
        <v>665790,21|6,0,0</v>
      </c>
      <c r="G21" t="str">
        <f>CONCATENATE(665692,",",ROW(BCTHBDVCSH_06615!G21),"|",COLUMN(BCTHBDVCSH_06615!G21),",0",",0")</f>
        <v>665692,21|7,0,0</v>
      </c>
      <c r="H21" t="str">
        <f>CONCATENATE(665666,",",ROW(BCTHBDVCSH_06615!H21),"|",COLUMN(BCTHBDVCSH_06615!H21),",0",",0")</f>
        <v>665666,21|8,0,0</v>
      </c>
      <c r="I21" t="str">
        <f>CONCATENATE(665827,",",ROW(BCTHBDVCSH_06615!I21),"|",COLUMN(BCTHBDVCSH_06615!I21),",0",",0")</f>
        <v>665827,21|9,0,0</v>
      </c>
      <c r="J21" t="str">
        <f>CONCATENATE(665646,",",ROW(BCTHBDVCSH_06615!J21),"|",COLUMN(BCTHBDVCSH_06615!J21),",0",",0")</f>
        <v>665646,21|10,0,0</v>
      </c>
      <c r="K21" t="str">
        <f>CONCATENATE(665742,",",ROW(BCTHBDVCSH_06615!K21),"|",COLUMN(BCTHBDVCSH_06615!K21),",0",",0")</f>
        <v>665742,21|11,0,0</v>
      </c>
    </row>
    <row r="22" spans="1:11" x14ac:dyDescent="0.25">
      <c r="A22" t="str">
        <f>CONCATENATE(665805,",",ROW(BCTHBDVCSH_06615!A22),"|",COLUMN(BCTHBDVCSH_06615!A22),",0",",0")</f>
        <v>665805,22|1,0,0</v>
      </c>
      <c r="B22" t="str">
        <f>CONCATENATE(665631,",",ROW(BCTHBDVCSH_06615!B22),"|",COLUMN(BCTHBDVCSH_06615!B22),",0",",0")</f>
        <v>665631,22|2,0,0</v>
      </c>
      <c r="C22" t="str">
        <f>CONCATENATE(665834,",",ROW(BCTHBDVCSH_06615!C22),"|",COLUMN(BCTHBDVCSH_06615!C22),",0",",0")</f>
        <v>665834,22|3,0,0</v>
      </c>
      <c r="D22" t="str">
        <f>CONCATENATE(665777,",",ROW(BCTHBDVCSH_06615!D22),"|",COLUMN(BCTHBDVCSH_06615!D22),",0",",0")</f>
        <v>665777,22|4,0,0</v>
      </c>
      <c r="E22" t="str">
        <f>CONCATENATE(665722,",",ROW(BCTHBDVCSH_06615!E22),"|",COLUMN(BCTHBDVCSH_06615!E22),",0",",0")</f>
        <v>665722,22|5,0,0</v>
      </c>
      <c r="F22" t="str">
        <f>CONCATENATE(665791,",",ROW(BCTHBDVCSH_06615!F22),"|",COLUMN(BCTHBDVCSH_06615!F22),",0",",0")</f>
        <v>665791,22|6,0,0</v>
      </c>
      <c r="G22" t="str">
        <f>CONCATENATE(665693,",",ROW(BCTHBDVCSH_06615!G22),"|",COLUMN(BCTHBDVCSH_06615!G22),",0",",0")</f>
        <v>665693,22|7,0,0</v>
      </c>
      <c r="H22" t="str">
        <f>CONCATENATE(665667,",",ROW(BCTHBDVCSH_06615!H22),"|",COLUMN(BCTHBDVCSH_06615!H22),",0",",0")</f>
        <v>665667,22|8,0,0</v>
      </c>
      <c r="I22" t="str">
        <f>CONCATENATE(665828,",",ROW(BCTHBDVCSH_06615!I22),"|",COLUMN(BCTHBDVCSH_06615!I22),",0",",0")</f>
        <v>665828,22|9,0,0</v>
      </c>
      <c r="J22" t="str">
        <f>CONCATENATE(665647,",",ROW(BCTHBDVCSH_06615!J22),"|",COLUMN(BCTHBDVCSH_06615!J22),",0",",0")</f>
        <v>665647,22|10,0,0</v>
      </c>
      <c r="K22" t="str">
        <f>CONCATENATE(665680,",",ROW(BCTHBDVCSH_06615!K22),"|",COLUMN(BCTHBDVCSH_06615!K22),",0",",0")</f>
        <v>665680,22|11,0,0</v>
      </c>
    </row>
    <row r="23" spans="1:11" x14ac:dyDescent="0.25">
      <c r="A23" t="str">
        <f>CONCATENATE(665686,",",ROW(BCTHBDVCSH_06615!A23),"|",COLUMN(BCTHBDVCSH_06615!A23),",0",",0")</f>
        <v>665686,23|1,0,0</v>
      </c>
      <c r="B23" t="str">
        <f>CONCATENATE(665632,",",ROW(BCTHBDVCSH_06615!B23),"|",COLUMN(BCTHBDVCSH_06615!B23),",0",",0")</f>
        <v>665632,23|2,0,0</v>
      </c>
      <c r="C23" t="str">
        <f>CONCATENATE(665835,",",ROW(BCTHBDVCSH_06615!C23),"|",COLUMN(BCTHBDVCSH_06615!C23),",0",",0")</f>
        <v>665835,23|3,0,0</v>
      </c>
      <c r="D23" t="str">
        <f>CONCATENATE(665778,",",ROW(BCTHBDVCSH_06615!D23),"|",COLUMN(BCTHBDVCSH_06615!D23),",0",",0")</f>
        <v>665778,23|4,0,0</v>
      </c>
      <c r="E23" t="str">
        <f>CONCATENATE(665723,",",ROW(BCTHBDVCSH_06615!E23),"|",COLUMN(BCTHBDVCSH_06615!E23),",0",",0")</f>
        <v>665723,23|5,0,0</v>
      </c>
      <c r="F23" t="str">
        <f>CONCATENATE(665792,",",ROW(BCTHBDVCSH_06615!F23),"|",COLUMN(BCTHBDVCSH_06615!F23),",0",",0")</f>
        <v>665792,23|6,0,0</v>
      </c>
      <c r="G23" t="str">
        <f>CONCATENATE(665694,",",ROW(BCTHBDVCSH_06615!G23),"|",COLUMN(BCTHBDVCSH_06615!G23),",0",",0")</f>
        <v>665694,23|7,0,0</v>
      </c>
      <c r="H23" t="str">
        <f>CONCATENATE(665668,",",ROW(BCTHBDVCSH_06615!H23),"|",COLUMN(BCTHBDVCSH_06615!H23),",0",",0")</f>
        <v>665668,23|8,0,0</v>
      </c>
      <c r="I23" t="str">
        <f>CONCATENATE(665829,",",ROW(BCTHBDVCSH_06615!I23),"|",COLUMN(BCTHBDVCSH_06615!I23),",0",",0")</f>
        <v>665829,23|9,0,0</v>
      </c>
      <c r="J23" t="str">
        <f>CONCATENATE(665648,",",ROW(BCTHBDVCSH_06615!J23),"|",COLUMN(BCTHBDVCSH_06615!J23),",0",",0")</f>
        <v>665648,23|10,0,0</v>
      </c>
      <c r="K23" t="str">
        <f>CONCATENATE(665743,",",ROW(BCTHBDVCSH_06615!K23),"|",COLUMN(BCTHBDVCSH_06615!K23),",0",",0")</f>
        <v>665743,23|11,0,0</v>
      </c>
    </row>
    <row r="24" spans="1:11" x14ac:dyDescent="0.25">
      <c r="A24" t="str">
        <f>CONCATENATE(665856,",",ROW(BCTHBDVCSH_06615!A24),"|",COLUMN(BCTHBDVCSH_06615!A24),",0",",0")</f>
        <v>665856,24|1,0,0</v>
      </c>
      <c r="B24" t="str">
        <f>CONCATENATE(665633,",",ROW(BCTHBDVCSH_06615!B24),"|",COLUMN(BCTHBDVCSH_06615!B24),",0",",0")</f>
        <v>665633,24|2,0,0</v>
      </c>
      <c r="C24" t="str">
        <f>CONCATENATE(665836,",",ROW(BCTHBDVCSH_06615!C24),"|",COLUMN(BCTHBDVCSH_06615!C24),",0",",0")</f>
        <v>665836,24|3,0,0</v>
      </c>
      <c r="D24" t="str">
        <f>CONCATENATE(665779,",",ROW(BCTHBDVCSH_06615!D24),"|",COLUMN(BCTHBDVCSH_06615!D24),",0",",0")</f>
        <v>665779,24|4,0,0</v>
      </c>
      <c r="E24" t="str">
        <f>CONCATENATE(665724,",",ROW(BCTHBDVCSH_06615!E24),"|",COLUMN(BCTHBDVCSH_06615!E24),",0",",0")</f>
        <v>665724,24|5,0,0</v>
      </c>
      <c r="F24" t="str">
        <f>CONCATENATE(665793,",",ROW(BCTHBDVCSH_06615!F24),"|",COLUMN(BCTHBDVCSH_06615!F24),",0",",0")</f>
        <v>665793,24|6,0,0</v>
      </c>
      <c r="G24" t="str">
        <f>CONCATENATE(665695,",",ROW(BCTHBDVCSH_06615!G24),"|",COLUMN(BCTHBDVCSH_06615!G24),",0",",0")</f>
        <v>665695,24|7,0,0</v>
      </c>
      <c r="H24" t="str">
        <f>CONCATENATE(665669,",",ROW(BCTHBDVCSH_06615!H24),"|",COLUMN(BCTHBDVCSH_06615!H24),",0",",0")</f>
        <v>665669,24|8,0,0</v>
      </c>
      <c r="I24" t="str">
        <f>CONCATENATE(665830,",",ROW(BCTHBDVCSH_06615!I24),"|",COLUMN(BCTHBDVCSH_06615!I24),",0",",0")</f>
        <v>665830,24|9,0,0</v>
      </c>
      <c r="J24" t="str">
        <f>CONCATENATE(665649,",",ROW(BCTHBDVCSH_06615!J24),"|",COLUMN(BCTHBDVCSH_06615!J24),",0",",0")</f>
        <v>665649,24|10,0,0</v>
      </c>
      <c r="K24" t="str">
        <f>CONCATENATE(665616,",",ROW(BCTHBDVCSH_06615!K24),"|",COLUMN(BCTHBDVCSH_06615!K24),",0",",0")</f>
        <v>665616,24|11,0,0</v>
      </c>
    </row>
    <row r="25" spans="1:11" x14ac:dyDescent="0.25">
      <c r="A25" t="str">
        <f>CONCATENATE(665857,",",ROW(BCTHBDVCSH_06615!A25),"|",COLUMN(BCTHBDVCSH_06615!A25),",0",",0")</f>
        <v>665857,25|1,0,0</v>
      </c>
      <c r="B25" t="str">
        <f>CONCATENATE(665636,",",ROW(BCTHBDVCSH_06615!B25),"|",COLUMN(BCTHBDVCSH_06615!B25),",0",",0")</f>
        <v>665636,25|2,0,0</v>
      </c>
      <c r="C25" t="str">
        <f>CONCATENATE(665837,",",ROW(BCTHBDVCSH_06615!C25),"|",COLUMN(BCTHBDVCSH_06615!C25),",0",",0")</f>
        <v>665837,25|3,0,0</v>
      </c>
      <c r="D25" t="str">
        <f>CONCATENATE(665780,",",ROW(BCTHBDVCSH_06615!D25),"|",COLUMN(BCTHBDVCSH_06615!D25),",0",",0")</f>
        <v>665780,25|4,0,0</v>
      </c>
      <c r="E25" t="str">
        <f>CONCATENATE(665725,",",ROW(BCTHBDVCSH_06615!E25),"|",COLUMN(BCTHBDVCSH_06615!E25),",0",",0")</f>
        <v>665725,25|5,0,0</v>
      </c>
      <c r="F25" t="str">
        <f>CONCATENATE(665808,",",ROW(BCTHBDVCSH_06615!F25),"|",COLUMN(BCTHBDVCSH_06615!F25),",0",",0")</f>
        <v>665808,25|6,0,0</v>
      </c>
      <c r="G25" t="str">
        <f>CONCATENATE(665696,",",ROW(BCTHBDVCSH_06615!G25),"|",COLUMN(BCTHBDVCSH_06615!G25),",0",",0")</f>
        <v>665696,25|7,0,0</v>
      </c>
      <c r="H25" t="str">
        <f>CONCATENATE(665670,",",ROW(BCTHBDVCSH_06615!H25),"|",COLUMN(BCTHBDVCSH_06615!H25),",0",",0")</f>
        <v>665670,25|8,0,0</v>
      </c>
      <c r="I25" t="str">
        <f>CONCATENATE(665806,",",ROW(BCTHBDVCSH_06615!I25),"|",COLUMN(BCTHBDVCSH_06615!I25),",0",",0")</f>
        <v>665806,25|9,0,0</v>
      </c>
      <c r="J25" t="str">
        <f>CONCATENATE(665733,",",ROW(BCTHBDVCSH_06615!J25),"|",COLUMN(BCTHBDVCSH_06615!J25),",0",",0")</f>
        <v>665733,25|10,0,0</v>
      </c>
      <c r="K25" t="str">
        <f>CONCATENATE(665744,",",ROW(BCTHBDVCSH_06615!K25),"|",COLUMN(BCTHBDVCSH_06615!K25),",0",",0")</f>
        <v>665744,25|11,0,0</v>
      </c>
    </row>
    <row r="26" spans="1:11" x14ac:dyDescent="0.25">
      <c r="A26" t="str">
        <f>CONCATENATE(665797,",",ROW(BCTHBDVCSH_06615!A26),"|",COLUMN(BCTHBDVCSH_06615!A26),",0",",0")</f>
        <v>665797,26|1,0,0</v>
      </c>
      <c r="B26" t="str">
        <f>CONCATENATE(665637,",",ROW(BCTHBDVCSH_06615!B26),"|",COLUMN(BCTHBDVCSH_06615!B26),",0",",0")</f>
        <v>665637,26|2,0,0</v>
      </c>
      <c r="C26" t="str">
        <f>CONCATENATE(665838,",",ROW(BCTHBDVCSH_06615!C26),"|",COLUMN(BCTHBDVCSH_06615!C26),",0",",0")</f>
        <v>665838,26|3,0,0</v>
      </c>
      <c r="D26" t="str">
        <f>CONCATENATE(665781,",",ROW(BCTHBDVCSH_06615!D26),"|",COLUMN(BCTHBDVCSH_06615!D26),",0",",0")</f>
        <v>665781,26|4,0,0</v>
      </c>
      <c r="E26" t="str">
        <f>CONCATENATE(665726,",",ROW(BCTHBDVCSH_06615!E26),"|",COLUMN(BCTHBDVCSH_06615!E26),",0",",0")</f>
        <v>665726,26|5,0,0</v>
      </c>
      <c r="F26" t="str">
        <f>CONCATENATE(665809,",",ROW(BCTHBDVCSH_06615!F26),"|",COLUMN(BCTHBDVCSH_06615!F26),",0",",0")</f>
        <v>665809,26|6,0,0</v>
      </c>
      <c r="G26" t="str">
        <f>CONCATENATE(665697,",",ROW(BCTHBDVCSH_06615!G26),"|",COLUMN(BCTHBDVCSH_06615!G26),",0",",0")</f>
        <v>665697,26|7,0,0</v>
      </c>
      <c r="H26" t="str">
        <f>CONCATENATE(665671,",",ROW(BCTHBDVCSH_06615!H26),"|",COLUMN(BCTHBDVCSH_06615!H26),",0",",0")</f>
        <v>665671,26|8,0,0</v>
      </c>
      <c r="I26" t="str">
        <f>CONCATENATE(665807,",",ROW(BCTHBDVCSH_06615!I26),"|",COLUMN(BCTHBDVCSH_06615!I26),",0",",0")</f>
        <v>665807,26|9,0,0</v>
      </c>
      <c r="J26" t="str">
        <f>CONCATENATE(665734,",",ROW(BCTHBDVCSH_06615!J26),"|",COLUMN(BCTHBDVCSH_06615!J26),",0",",0")</f>
        <v>665734,26|10,0,0</v>
      </c>
      <c r="K26" t="str">
        <f>CONCATENATE(665681,",",ROW(BCTHBDVCSH_06615!K26),"|",COLUMN(BCTHBDVCSH_06615!K26),",0",",0")</f>
        <v>665681,26|11,0,0</v>
      </c>
    </row>
    <row r="27" spans="1:11" x14ac:dyDescent="0.25">
      <c r="A27" t="str">
        <f>CONCATENATE(665798,",",ROW(BCTHBDVCSH_06615!A27),"|",COLUMN(BCTHBDVCSH_06615!A27),",0",",0")</f>
        <v>665798,27|1,0,0</v>
      </c>
      <c r="B27" t="str">
        <f>CONCATENATE(665638,",",ROW(BCTHBDVCSH_06615!B27),"|",COLUMN(BCTHBDVCSH_06615!B27),",0",",0")</f>
        <v>665638,27|2,0,0</v>
      </c>
      <c r="C27" t="str">
        <f>CONCATENATE(665839,",",ROW(BCTHBDVCSH_06615!C27),"|",COLUMN(BCTHBDVCSH_06615!C27),",0",",0")</f>
        <v>665839,27|3,0,0</v>
      </c>
      <c r="D27" t="str">
        <f>CONCATENATE(665782,",",ROW(BCTHBDVCSH_06615!D27),"|",COLUMN(BCTHBDVCSH_06615!D27),",0",",0")</f>
        <v>665782,27|4,0,0</v>
      </c>
      <c r="E27" t="str">
        <f>CONCATENATE(665727,",",ROW(BCTHBDVCSH_06615!E27),"|",COLUMN(BCTHBDVCSH_06615!E27),",0",",0")</f>
        <v>665727,27|5,0,0</v>
      </c>
      <c r="F27" t="str">
        <f>CONCATENATE(665810,",",ROW(BCTHBDVCSH_06615!F27),"|",COLUMN(BCTHBDVCSH_06615!F27),",0",",0")</f>
        <v>665810,27|6,0,0</v>
      </c>
      <c r="G27" t="str">
        <f>CONCATENATE(665698,",",ROW(BCTHBDVCSH_06615!G27),"|",COLUMN(BCTHBDVCSH_06615!G27),",0",",0")</f>
        <v>665698,27|7,0,0</v>
      </c>
      <c r="H27" t="str">
        <f>CONCATENATE(665672,",",ROW(BCTHBDVCSH_06615!H27),"|",COLUMN(BCTHBDVCSH_06615!H27),",0",",0")</f>
        <v>665672,27|8,0,0</v>
      </c>
      <c r="I27" t="str">
        <f>CONCATENATE(665846,",",ROW(BCTHBDVCSH_06615!I27),"|",COLUMN(BCTHBDVCSH_06615!I27),",0",",0")</f>
        <v>665846,27|9,0,0</v>
      </c>
      <c r="J27" t="str">
        <f>CONCATENATE(665735,",",ROW(BCTHBDVCSH_06615!J27),"|",COLUMN(BCTHBDVCSH_06615!J27),",0",",0")</f>
        <v>665735,27|10,0,0</v>
      </c>
      <c r="K27" t="str">
        <f>CONCATENATE(665745,",",ROW(BCTHBDVCSH_06615!K27),"|",COLUMN(BCTHBDVCSH_06615!K27),",0",",0")</f>
        <v>665745,27|11,0,0</v>
      </c>
    </row>
    <row r="28" spans="1:11" x14ac:dyDescent="0.25">
      <c r="A28" t="str">
        <f>CONCATENATE(665688,",",ROW(BCTHBDVCSH_06615!A28),"|",COLUMN(BCTHBDVCSH_06615!A28),",0",",0")</f>
        <v>665688,28|1,0,0</v>
      </c>
      <c r="B28" t="str">
        <f>CONCATENATE(665639,",",ROW(BCTHBDVCSH_06615!B28),"|",COLUMN(BCTHBDVCSH_06615!B28),",0",",0")</f>
        <v>665639,28|2,0,0</v>
      </c>
      <c r="C28" t="str">
        <f>CONCATENATE(665840,",",ROW(BCTHBDVCSH_06615!C28),"|",COLUMN(BCTHBDVCSH_06615!C28),",0",",0")</f>
        <v>665840,28|3,0,0</v>
      </c>
      <c r="D28" t="str">
        <f>CONCATENATE(665783,",",ROW(BCTHBDVCSH_06615!D28),"|",COLUMN(BCTHBDVCSH_06615!D28),",0",",0")</f>
        <v>665783,28|4,0,0</v>
      </c>
      <c r="E28" t="str">
        <f>CONCATENATE(665728,",",ROW(BCTHBDVCSH_06615!E28),"|",COLUMN(BCTHBDVCSH_06615!E28),",0",",0")</f>
        <v>665728,28|5,0,0</v>
      </c>
      <c r="F28" t="str">
        <f>CONCATENATE(665811,",",ROW(BCTHBDVCSH_06615!F28),"|",COLUMN(BCTHBDVCSH_06615!F28),",0",",0")</f>
        <v>665811,28|6,0,0</v>
      </c>
      <c r="G28" t="str">
        <f>CONCATENATE(665699,",",ROW(BCTHBDVCSH_06615!G28),"|",COLUMN(BCTHBDVCSH_06615!G28),",0",",0")</f>
        <v>665699,28|7,0,0</v>
      </c>
      <c r="H28" t="str">
        <f>CONCATENATE(665673,",",ROW(BCTHBDVCSH_06615!H28),"|",COLUMN(BCTHBDVCSH_06615!H28),",0",",0")</f>
        <v>665673,28|8,0,0</v>
      </c>
      <c r="I28" t="str">
        <f>CONCATENATE(665847,",",ROW(BCTHBDVCSH_06615!I28),"|",COLUMN(BCTHBDVCSH_06615!I28),",0",",0")</f>
        <v>665847,28|9,0,0</v>
      </c>
      <c r="J28" t="str">
        <f>CONCATENATE(665736,",",ROW(BCTHBDVCSH_06615!J28),"|",COLUMN(BCTHBDVCSH_06615!J28),",0",",0")</f>
        <v>665736,28|10,0,0</v>
      </c>
      <c r="K28" t="str">
        <f>CONCATENATE(665617,",",ROW(BCTHBDVCSH_06615!K28),"|",COLUMN(BCTHBDVCSH_06615!K28),",0",",0")</f>
        <v>665617,28|11,0,0</v>
      </c>
    </row>
    <row r="29" spans="1:11" x14ac:dyDescent="0.25">
      <c r="A29" t="str">
        <f>CONCATENATE(665799,",",ROW(BCTHBDVCSH_06615!A29),"|",COLUMN(BCTHBDVCSH_06615!A29),",0",",0")</f>
        <v>665799,29|1,0,0</v>
      </c>
      <c r="B29" t="str">
        <f>CONCATENATE(665864,",",ROW(BCTHBDVCSH_06615!B29),"|",COLUMN(BCTHBDVCSH_06615!B29),",0",",0")</f>
        <v>665864,29|2,0,0</v>
      </c>
      <c r="C29" t="str">
        <f>CONCATENATE(665841,",",ROW(BCTHBDVCSH_06615!C29),"|",COLUMN(BCTHBDVCSH_06615!C29),",0",",0")</f>
        <v>665841,29|3,0,0</v>
      </c>
      <c r="D29" t="str">
        <f>CONCATENATE(665784,",",ROW(BCTHBDVCSH_06615!D29),"|",COLUMN(BCTHBDVCSH_06615!D29),",0",",0")</f>
        <v>665784,29|4,0,0</v>
      </c>
      <c r="E29" t="str">
        <f>CONCATENATE(665729,",",ROW(BCTHBDVCSH_06615!E29),"|",COLUMN(BCTHBDVCSH_06615!E29),",0",",0")</f>
        <v>665729,29|5,0,0</v>
      </c>
      <c r="F29" t="str">
        <f>CONCATENATE(665812,",",ROW(BCTHBDVCSH_06615!F29),"|",COLUMN(BCTHBDVCSH_06615!F29),",0",",0")</f>
        <v>665812,29|6,0,0</v>
      </c>
      <c r="G29" t="str">
        <f>CONCATENATE(665700,",",ROW(BCTHBDVCSH_06615!G29),"|",COLUMN(BCTHBDVCSH_06615!G29),",0",",0")</f>
        <v>665700,29|7,0,0</v>
      </c>
      <c r="H29" t="str">
        <f>CONCATENATE(665674,",",ROW(BCTHBDVCSH_06615!H29),"|",COLUMN(BCTHBDVCSH_06615!H29),",0",",0")</f>
        <v>665674,29|8,0,0</v>
      </c>
      <c r="I29" t="str">
        <f>CONCATENATE(665650,",",ROW(BCTHBDVCSH_06615!I29),"|",COLUMN(BCTHBDVCSH_06615!I29),",0",",0")</f>
        <v>665650,29|9,0,0</v>
      </c>
      <c r="J29" t="str">
        <f>CONCATENATE(665737,",",ROW(BCTHBDVCSH_06615!J29),"|",COLUMN(BCTHBDVCSH_06615!J29),",0",",0")</f>
        <v>665737,29|10,0,0</v>
      </c>
      <c r="K29" t="str">
        <f>CONCATENATE(665746,",",ROW(BCTHBDVCSH_06615!K29),"|",COLUMN(BCTHBDVCSH_06615!K29),",0",",0")</f>
        <v>665746,29|11,0,0</v>
      </c>
    </row>
  </sheetData>
  <sheetProtection password="CB7D"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Trang bìa</vt:lpstr>
      <vt:lpstr>Setting</vt:lpstr>
      <vt:lpstr>BCTCR_06608</vt:lpstr>
      <vt:lpstr>8652_hidden</vt:lpstr>
      <vt:lpstr>CCTTCR_06609</vt:lpstr>
      <vt:lpstr>8648_hidden</vt:lpstr>
      <vt:lpstr>BCKQHDR_06610</vt:lpstr>
      <vt:lpstr>8645_hidden</vt:lpstr>
      <vt:lpstr>BCLCTTRTT_06611</vt:lpstr>
      <vt:lpstr>8649_hidden</vt:lpstr>
      <vt:lpstr>PLCTTHDMGUTCKHTT_06612</vt:lpstr>
      <vt:lpstr>8646_hidden</vt:lpstr>
      <vt:lpstr>BCLCTTRGT_06613</vt:lpstr>
      <vt:lpstr>8651_hidden</vt:lpstr>
      <vt:lpstr>PLCTTHDMGUTCKHGT_06614</vt:lpstr>
      <vt:lpstr>8647_hidden</vt:lpstr>
      <vt:lpstr>BCTHBDVCSH_06615</vt:lpstr>
      <vt:lpstr>8650_hidden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Ngô Thị Quỳnh Liên</dc:creator>
  <cp:lastModifiedBy>Do Thi Diem Quynh</cp:lastModifiedBy>
  <dcterms:created xsi:type="dcterms:W3CDTF">2020-06-04T03:29:47Z</dcterms:created>
  <dcterms:modified xsi:type="dcterms:W3CDTF">2026-07-16T03:37:24Z</dcterms:modified>
</cp:coreProperties>
</file>

<file path=package/services/digital-signature/_rels/origin.psdsor.rels>&#65279;<?xml version="1.0" encoding="utf-8"?><Relationships xmlns="http://schemas.openxmlformats.org/package/2006/relationships"><Relationship Type="http://schemas.openxmlformats.org/package/2006/relationships/digital-signature/signature" Target="/package/services/digital-signature/xml-signature/622aa6b210164568984b31c3aed27ca8.psdsxs" Id="Rf57082d8d84749b6" /></Relationships>
</file>